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6"/>
  </bookViews>
  <sheets>
    <sheet name="Included_Trials" sheetId="1" state="visible" r:id="rId2"/>
    <sheet name="Excluded_Trials" sheetId="2" state="visible" r:id="rId3"/>
    <sheet name="vitC_Trials" sheetId="3" state="visible" r:id="rId4"/>
    <sheet name="Analysis 1" sheetId="4" state="visible" r:id="rId5"/>
    <sheet name="Days per Episode" sheetId="5" state="visible" r:id="rId6"/>
    <sheet name="Severity per Episode" sheetId="6" state="visible" r:id="rId7"/>
    <sheet name="Calculations" sheetId="7" state="visible" r:id="rId8"/>
    <sheet name="Calculations 2" sheetId="8" state="visible" r:id="rId9"/>
    <sheet name="SD per Mean" sheetId="9" state="visible" r:id="rId10"/>
    <sheet name="Analyses 2+4" sheetId="10" state="visible" r:id="rId11"/>
    <sheet name="Analyses 3+5" sheetId="11" state="visible" r:id="rId12"/>
    <sheet name="P + NNT" sheetId="12" state="visible" r:id="rId13"/>
    <sheet name="Anderson 1972 subgroups" sheetId="13" state="visible" r:id="rId14"/>
    <sheet name="Anderson 1974 1-day-colds Adverse effects" sheetId="14" state="visible" r:id="rId15"/>
  </sheets>
  <definedNames>
    <definedName function="false" hidden="false" name="SHARED_FORMULA_10_28_10_28_3" vbProcedure="false">#REF!</definedName>
    <definedName function="false" hidden="false" name="SHARED_FORMULA_10_8_10_8_3" vbProcedure="false">#REF!</definedName>
    <definedName function="false" hidden="false" name="SHARED_FORMULA_11_28_11_28_3" vbProcedure="false">#REF!/#REF!*100</definedName>
    <definedName function="false" hidden="false" name="SHARED_FORMULA_11_8_11_8_3" vbProcedure="false">#REF!/#REF!*100</definedName>
    <definedName function="false" hidden="false" name="SHARED_FORMULA_12_28_12_28_3" vbProcedure="false">#REF!/#REF!*100</definedName>
    <definedName function="false" hidden="false" name="SHARED_FORMULA_12_8_12_8_3" vbProcedure="false">#REF!/#REF!*100</definedName>
    <definedName function="false" hidden="false" name="SHARED_FORMULA_13_28_13_28_3" vbProcedure="false">#REF!</definedName>
    <definedName function="false" hidden="false" name="SHARED_FORMULA_13_8_13_8_3" vbProcedure="false">#REF!</definedName>
    <definedName function="false" hidden="false" name="SHARED_FORMULA_15_28_15_28_3" vbProcedure="false">#REF!/#REF!*100</definedName>
    <definedName function="false" hidden="false" name="SHARED_FORMULA_15_8_15_8_3" vbProcedure="false">#REF!/#REF!*100</definedName>
    <definedName function="false" hidden="false" name="SHARED_FORMULA_16_28_16_28_3" vbProcedure="false">#REF!-#REF!</definedName>
    <definedName function="false" hidden="false" name="SHARED_FORMULA_16_8_16_8_3" vbProcedure="false">#REF!-#REF!</definedName>
    <definedName function="false" hidden="false" name="SHARED_FORMULA_3_8_3_8_0" vbProcedure="false">#REF!/#REF!</definedName>
    <definedName function="false" hidden="false" name="SHARED_FORMULA_6_10_6_10_2" vbProcedure="false">(#REF!/#REF!)/(#REF!/#REF!)</definedName>
    <definedName function="false" hidden="false" name="SHARED_FORMULA_6_36_6_36_2" vbProcedure="false">(#REF!/#REF!)/(#REF!/#REF!)</definedName>
    <definedName function="false" hidden="false" name="SHARED_FORMULA_8_16_8_16_4" vbProcedure="false">#REF!/#REF!</definedName>
    <definedName function="false" hidden="false" name="SHARED_FORMULA_8_28_8_28_3" vbProcedure="false">#REF!/#REF!</definedName>
    <definedName function="false" hidden="false" name="SHARED_FORMULA_8_42_8_42_3" vbProcedure="false">#REF!/#REF!</definedName>
    <definedName function="false" hidden="false" name="SHARED_FORMULA_8_7_8_7_4" vbProcedure="false">#REF!/#REF!</definedName>
    <definedName function="false" hidden="false" name="SHARED_FORMULA_8_8_8_8_0" vbProcedure="false">#REF!/#REF!</definedName>
    <definedName function="false" hidden="false" name="SHARED_FORMULA_8_8_8_8_3" vbProcedure="false">#REF!/#REF!</definedName>
  </definedName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<sst xmlns="http://schemas.openxmlformats.org/spreadsheetml/2006/main" count="1962" uniqueCount="569">
  <si>
    <t>Abbott 1968</t>
  </si>
  <si>
    <t>x</t>
  </si>
  <si>
    <t>Anderson 1972</t>
  </si>
  <si>
    <t>Anderson 1974</t>
  </si>
  <si>
    <t>Anderson 1974a</t>
  </si>
  <si>
    <t>Anderson 1974b</t>
  </si>
  <si>
    <t>Anderson 1974c</t>
  </si>
  <si>
    <t>Anderson 1974d</t>
  </si>
  <si>
    <t>Anderson 1974e</t>
  </si>
  <si>
    <t>Anderson 1975</t>
  </si>
  <si>
    <t>Anderson 1975a</t>
  </si>
  <si>
    <t>Asfora 1977</t>
  </si>
  <si>
    <t>Audera 2001</t>
  </si>
  <si>
    <t>C</t>
  </si>
  <si>
    <t>Audera 2001a</t>
  </si>
  <si>
    <t>Bancalari 1984</t>
  </si>
  <si>
    <t>Briggs 1984</t>
  </si>
  <si>
    <t>Brown 1945</t>
  </si>
  <si>
    <t>Carillo 2008</t>
  </si>
  <si>
    <t>Carillo 2008a</t>
  </si>
  <si>
    <t>Carr 1981</t>
  </si>
  <si>
    <t>Carr 1981a</t>
  </si>
  <si>
    <t>Carson 1975</t>
  </si>
  <si>
    <t>Charleston 1972</t>
  </si>
  <si>
    <t>Clegg 1975</t>
  </si>
  <si>
    <t>Constantini 2011</t>
  </si>
  <si>
    <t>Constantini 2011a</t>
  </si>
  <si>
    <t>Coulehan 1974</t>
  </si>
  <si>
    <t>Coulehan 1974a</t>
  </si>
  <si>
    <t>B</t>
  </si>
  <si>
    <t>Coulehan 1976</t>
  </si>
  <si>
    <t>Cowan 1942</t>
  </si>
  <si>
    <t>Cowan 1950</t>
  </si>
  <si>
    <t>Cowan 1950a</t>
  </si>
  <si>
    <t>Craig 1976</t>
  </si>
  <si>
    <t>Dahlberg 1944</t>
  </si>
  <si>
    <t>Dick 1990</t>
  </si>
  <si>
    <t>Elliott 1973</t>
  </si>
  <si>
    <t>Elwood 1976</t>
  </si>
  <si>
    <t>Elwood 1977</t>
  </si>
  <si>
    <t>Franz 1956</t>
  </si>
  <si>
    <t>Himmelstein 1998</t>
  </si>
  <si>
    <t>Johnston 2014</t>
  </si>
  <si>
    <t>Karlowski 1975</t>
  </si>
  <si>
    <t>Karlowski 1975a</t>
  </si>
  <si>
    <t>Karlowski 1975b</t>
  </si>
  <si>
    <t>Karlowski 1975c</t>
  </si>
  <si>
    <t>Karlowski 1975d</t>
  </si>
  <si>
    <t>Liljefors 1972</t>
  </si>
  <si>
    <t>Ludvigsson 1977</t>
  </si>
  <si>
    <t>Ludvigsson 1977a</t>
  </si>
  <si>
    <t>Miller 1977</t>
  </si>
  <si>
    <t>Miller 1977a</t>
  </si>
  <si>
    <t>Miller 1977b</t>
  </si>
  <si>
    <t>Moolla 1996</t>
  </si>
  <si>
    <t>Moolla 1996a</t>
  </si>
  <si>
    <t>Peters 1993</t>
  </si>
  <si>
    <t>F</t>
  </si>
  <si>
    <t>Peters 1993a</t>
  </si>
  <si>
    <t>Peters 1996</t>
  </si>
  <si>
    <t>Peters 1996a</t>
  </si>
  <si>
    <t>Pitt 1979</t>
  </si>
  <si>
    <t>Regnier 1968</t>
  </si>
  <si>
    <t>Ritzel 1961</t>
  </si>
  <si>
    <t>Sabiston 1974</t>
  </si>
  <si>
    <t>Sasazuki 2006</t>
  </si>
  <si>
    <t>Scheunert 1949</t>
  </si>
  <si>
    <t>Schwartz 1973</t>
  </si>
  <si>
    <t>Tebrock 1956</t>
  </si>
  <si>
    <t>Tyrrell 1977</t>
  </si>
  <si>
    <t>Tyrrell 1977a</t>
  </si>
  <si>
    <t>van Straten 2002</t>
  </si>
  <si>
    <t>Walker 1967</t>
  </si>
  <si>
    <t>Wilson 1973</t>
  </si>
  <si>
    <t>Wilson 1973a</t>
  </si>
  <si>
    <t>Totals</t>
  </si>
  <si>
    <t>Regular</t>
  </si>
  <si>
    <t>Therapeutic</t>
  </si>
  <si>
    <t>Contamination</t>
  </si>
  <si>
    <t>Not stated</t>
  </si>
  <si>
    <t>Baseline</t>
  </si>
  <si>
    <t>Many</t>
  </si>
  <si>
    <t>All</t>
  </si>
  <si>
    <t>Not suitable data</t>
  </si>
  <si>
    <t>indistinguishable</t>
  </si>
  <si>
    <t>balance</t>
  </si>
  <si>
    <t>vitamin C</t>
  </si>
  <si>
    <t>separate</t>
  </si>
  <si>
    <t>Laboratory</t>
  </si>
  <si>
    <t>”C” means vit C</t>
  </si>
  <si>
    <t>comparisons</t>
  </si>
  <si>
    <t>reports</t>
  </si>
  <si>
    <t>given to placebo</t>
  </si>
  <si>
    <t>in the same </t>
  </si>
  <si>
    <t>”F” means</t>
  </si>
  <si>
    <t>report</t>
  </si>
  <si>
    <t>high vit C</t>
  </si>
  <si>
    <t>Stated</t>
  </si>
  <si>
    <t>in foods</t>
  </si>
  <si>
    <t>Full total</t>
  </si>
  <si>
    <t>”B” means</t>
  </si>
  <si>
    <t>in blood</t>
  </si>
  <si>
    <t>Audera</t>
  </si>
  <si>
    <t>Baird</t>
  </si>
  <si>
    <t>Barnes</t>
  </si>
  <si>
    <t>Bartley</t>
  </si>
  <si>
    <t>Bendel</t>
  </si>
  <si>
    <t>Bergquist</t>
  </si>
  <si>
    <t>Bessel-Lorck</t>
  </si>
  <si>
    <t>Bibile</t>
  </si>
  <si>
    <t>not found</t>
  </si>
  <si>
    <t>Boines</t>
  </si>
  <si>
    <t>Chavance</t>
  </si>
  <si>
    <t>Cuendet</t>
  </si>
  <si>
    <t>Dyllick</t>
  </si>
  <si>
    <t>Fogelholm</t>
  </si>
  <si>
    <t>Glazebrook</t>
  </si>
  <si>
    <t>Gormly</t>
  </si>
  <si>
    <t>Gorton</t>
  </si>
  <si>
    <t>Himmelstein</t>
  </si>
  <si>
    <t>dropout rates inconsistent</t>
  </si>
  <si>
    <t>Hopfengärtner</t>
  </si>
  <si>
    <t>Hunt</t>
  </si>
  <si>
    <t>not specifically common cold</t>
  </si>
  <si>
    <t>Kimbarowski</t>
  </si>
  <si>
    <t>Koyzev</t>
  </si>
  <si>
    <t>Maggini</t>
  </si>
  <si>
    <t>Masek</t>
  </si>
  <si>
    <t>Miegl 1957</t>
  </si>
  <si>
    <t>Miegl 1958</t>
  </si>
  <si>
    <t>Niemi</t>
  </si>
  <si>
    <t>Peters 1940</t>
  </si>
  <si>
    <t>Pico</t>
  </si>
  <si>
    <t>Renker</t>
  </si>
  <si>
    <t>Schmidt</t>
  </si>
  <si>
    <t>No placebo</t>
  </si>
  <si>
    <t>&lt; 0.2 g/day</t>
  </si>
  <si>
    <t>Other </t>
  </si>
  <si>
    <t>Other reasons</t>
  </si>
  <si>
    <t>substances</t>
  </si>
  <si>
    <t>together</t>
  </si>
  <si>
    <t>with vit C</t>
  </si>
  <si>
    <t>Dose at least 1 g/day either regular of therapeutic placebo control</t>
  </si>
  <si>
    <t>Year</t>
  </si>
  <si>
    <t>Study</t>
  </si>
  <si>
    <t>Therapy</t>
  </si>
  <si>
    <t>N (vit C)</t>
  </si>
  <si>
    <t>N (Plac)</t>
  </si>
  <si>
    <t>2 yr period</t>
  </si>
  <si>
    <t>5 yr period</t>
  </si>
  <si>
    <t>Anderson All</t>
  </si>
  <si>
    <t>Total</t>
  </si>
  <si>
    <t>% of all N in all studies</t>
  </si>
  <si>
    <t>1972 study % of all</t>
  </si>
  <si>
    <t>Anderson 1974f</t>
  </si>
  <si>
    <t>Coulehan 1974b</t>
  </si>
  <si>
    <t>Anderson 1975b</t>
  </si>
  <si>
    <t>Craig 1977</t>
  </si>
  <si>
    <t>Ludvigsson 1977b</t>
  </si>
  <si>
    <t>Only 1970s</t>
  </si>
  <si>
    <t>1970s and 1980s</t>
  </si>
  <si>
    <t>Trials</t>
  </si>
  <si>
    <t>Rate/yr</t>
  </si>
  <si>
    <t>to </t>
  </si>
  <si>
    <t>trials</t>
  </si>
  <si>
    <t>participants</t>
  </si>
  <si>
    <t>Himmelstein 1998b</t>
  </si>
  <si>
    <t>Himmelstein 1998a</t>
  </si>
  <si>
    <t>Audera 2001b</t>
  </si>
  <si>
    <t>Carillo 2008b</t>
  </si>
  <si>
    <t>30 v</t>
  </si>
  <si>
    <t>Ratio</t>
  </si>
  <si>
    <t>Count</t>
  </si>
  <si>
    <t>Total N</t>
  </si>
  <si>
    <t>Proportion post-1990 studies</t>
  </si>
  <si>
    <t>Analysis 1.1.1</t>
  </si>
  <si>
    <t>(close other subgroups)</t>
  </si>
  <si>
    <t>Jonston</t>
  </si>
  <si>
    <t>vanStraten</t>
  </si>
  <si>
    <t>Sum</t>
  </si>
  <si>
    <t>in %</t>
  </si>
  <si>
    <t>Analysis 1.1.3</t>
  </si>
  <si>
    <t>Carillo</t>
  </si>
  <si>
    <t>Moolla</t>
  </si>
  <si>
    <t>Peters</t>
  </si>
  <si>
    <t>Analysis 2.2</t>
  </si>
  <si>
    <t>Constantini</t>
  </si>
  <si>
    <t>Analysis 3.1</t>
  </si>
  <si>
    <t>This sheet shows data extracted for Analysis 1.1</t>
  </si>
  <si>
    <t>Bold indicates figures that were published</t>
  </si>
  <si>
    <t>Analysis 1.1</t>
  </si>
  <si>
    <t>Dose</t>
  </si>
  <si>
    <t>Vitamin C</t>
  </si>
  <si>
    <t>Placebo</t>
  </si>
  <si>
    <t>Anderson 1974 had placebo group #4 which we used as the reference group previously</t>
  </si>
  <si>
    <t>Persons with colds</t>
  </si>
  <si>
    <t>With </t>
  </si>
  <si>
    <t>RR</t>
  </si>
  <si>
    <t>However, groups #7 and #8 were administered vitamin C single day therapeutically and thus they also serve as reference groups the analysis of incidence</t>
  </si>
  <si>
    <t>colds</t>
  </si>
  <si>
    <t>weighted</t>
  </si>
  <si>
    <t>Division of Anderson 1974 placebo group to the 4 vitamin C groups</t>
  </si>
  <si>
    <t>N</t>
  </si>
  <si>
    <t>Division is weighted by the sizes of the vitamin C groups</t>
  </si>
  <si>
    <t>#4,#7,#8</t>
  </si>
  <si>
    <t>Pooling of the persons with colds is done here</t>
  </si>
  <si>
    <t>Anderson-1972</t>
  </si>
  <si>
    <t>&lt;</t>
  </si>
  <si>
    <t>Free  of symptoms</t>
  </si>
  <si>
    <t>vitC</t>
  </si>
  <si>
    <t>Colds</t>
  </si>
  <si>
    <t>Group</t>
  </si>
  <si>
    <t>Rounded</t>
  </si>
  <si>
    <t>#</t>
  </si>
  <si>
    <t>No colds</t>
  </si>
  <si>
    <t>yes colds</t>
  </si>
  <si>
    <t># 1</t>
  </si>
  <si>
    <t>Anderson-1974</t>
  </si>
  <si>
    <t>&lt; -</t>
  </si>
  <si>
    <t># 2</t>
  </si>
  <si>
    <t>Anderson-1974a</t>
  </si>
  <si>
    <t># 3</t>
  </si>
  <si>
    <t>Anderson-1974b</t>
  </si>
  <si>
    <t>  &lt; 1 g/d</t>
  </si>
  <si>
    <t># 5</t>
  </si>
  <si>
    <t>Bancalari-1984</t>
  </si>
  <si>
    <t>total no regular vitamin C</t>
  </si>
  <si>
    <t>Briggs-1984</t>
  </si>
  <si>
    <t>Carson-1975</t>
  </si>
  <si>
    <t>Total vit C</t>
  </si>
  <si>
    <t>Tot plac</t>
  </si>
  <si>
    <t>Sympt C</t>
  </si>
  <si>
    <t>Sympt P</t>
  </si>
  <si>
    <t>Charleston-1972</t>
  </si>
  <si>
    <t>Clegg-1975</t>
  </si>
  <si>
    <t>NoCold C</t>
  </si>
  <si>
    <t>NoCold P</t>
  </si>
  <si>
    <t>Coulehan-1974_LO</t>
  </si>
  <si>
    <t>Coulehan-1974a_UP</t>
  </si>
  <si>
    <t>Coulehan-1976</t>
  </si>
  <si>
    <t>Elwood-1976</t>
  </si>
  <si>
    <t>Himmelstein-1998sed</t>
  </si>
  <si>
    <t>Johnston-2014</t>
  </si>
  <si>
    <t>Liljefors-1972</t>
  </si>
  <si>
    <t>Ludvigsson-1977_small</t>
  </si>
  <si>
    <t>Ludvigsson-1977a_large</t>
  </si>
  <si>
    <t>Free  of symptoms </t>
  </si>
  <si>
    <t>Pitt-1979</t>
  </si>
  <si>
    <t>Van Straten-2002</t>
  </si>
  <si>
    <t>Total No colds</t>
  </si>
  <si>
    <t>Reinfected</t>
  </si>
  <si>
    <t>Mean</t>
  </si>
  <si>
    <t>Median</t>
  </si>
  <si>
    <t>&lt; 1 g/day vitamin C</t>
  </si>
  <si>
    <t>Anderson-1974c</t>
  </si>
  <si>
    <t>Cowan-1942</t>
  </si>
  <si>
    <t>Dahlberg-1944</t>
  </si>
  <si>
    <t>Franz-1956</t>
  </si>
  <si>
    <t>Moolla-1996sed</t>
  </si>
  <si>
    <t>Peters-1993sed</t>
  </si>
  <si>
    <t>Peters-1996sed</t>
  </si>
  <si>
    <t>Sasazuki-2006</t>
  </si>
  <si>
    <t>Physical stress</t>
  </si>
  <si>
    <t>Carillo-2008</t>
  </si>
  <si>
    <t>Carillo-2008 carried out two exercise tests with the same 6+6 participants and they are listed here as two separate studies</t>
  </si>
  <si>
    <t>Carillo-2008a</t>
  </si>
  <si>
    <t>These are based on personal communication with Dr. Carillo</t>
  </si>
  <si>
    <t>Moolla-1996run</t>
  </si>
  <si>
    <t>Peters-1993run</t>
  </si>
  <si>
    <t>Peters-1996run</t>
  </si>
  <si>
    <t>Ritzel-1961</t>
  </si>
  <si>
    <t>Vit C total days ill</t>
  </si>
  <si>
    <t>Placebo total days ill</t>
  </si>
  <si>
    <t>Vit C mean duration</t>
  </si>
  <si>
    <t>Placebo mean duration</t>
  </si>
  <si>
    <t>Sabiston-1974</t>
  </si>
  <si>
    <t>This sheet shows data extracted for Analyses 2 and 3 and 5</t>
  </si>
  <si>
    <t>Duration in days per episode</t>
  </si>
  <si>
    <t>'= ratio between SD and mean, 80th percentile</t>
  </si>
  <si>
    <t>Prophylaxis days adults</t>
  </si>
  <si>
    <t>Analysis 2</t>
  </si>
  <si>
    <t>Episode</t>
  </si>
  <si>
    <t>Colds </t>
  </si>
  <si>
    <t>Duration</t>
  </si>
  <si>
    <t>mean</t>
  </si>
  <si>
    <t>Episodes</t>
  </si>
  <si>
    <t>Per</t>
  </si>
  <si>
    <t>Adults</t>
  </si>
  <si>
    <t>days</t>
  </si>
  <si>
    <t>Patients</t>
  </si>
  <si>
    <t>per pers</t>
  </si>
  <si>
    <t>SE</t>
  </si>
  <si>
    <t>SD</t>
  </si>
  <si>
    <t>arms</t>
  </si>
  <si>
    <t>NOTES</t>
  </si>
  <si>
    <t>group #4</t>
  </si>
  <si>
    <t>Anderson-1974 #1 (1+4g)</t>
  </si>
  <si>
    <t>Anderson-1974a #2 (1g)</t>
  </si>
  <si>
    <t>Anderson-1974b #3 (2 g)</t>
  </si>
  <si>
    <t>Anderson-1974c #5 (0.25g)</t>
  </si>
  <si>
    <t>Carr-1981 Together</t>
  </si>
  <si>
    <t>Carr-1981a Apart</t>
  </si>
  <si>
    <t>&lt; Var</t>
  </si>
  <si>
    <t>Himmelstein 1998sed</t>
  </si>
  <si>
    <r>
      <rPr>
        <b val="true"/>
        <sz val="10"/>
        <rFont val="Arial"/>
        <family val="2"/>
      </rPr>
      <t>Karlowski 1975</t>
    </r>
    <r>
      <rPr>
        <sz val="10"/>
        <rFont val="Arial"/>
        <family val="2"/>
      </rPr>
      <t>a</t>
    </r>
    <r>
      <rPr>
        <sz val="10"/>
        <rFont val="Arial"/>
        <family val="2"/>
      </rPr>
      <t> (#2)</t>
    </r>
  </si>
  <si>
    <t>Karlowski SE from Lewis (1975) Ann NY Acad Sci</t>
  </si>
  <si>
    <r>
      <rPr>
        <b val="true"/>
        <sz val="10"/>
        <rFont val="Arial"/>
        <family val="2"/>
      </rPr>
      <t>Karlowski 1975</t>
    </r>
    <r>
      <rPr>
        <sz val="10"/>
        <rFont val="Arial"/>
        <family val="2"/>
      </rPr>
      <t>d </t>
    </r>
    <r>
      <rPr>
        <sz val="10"/>
        <rFont val="Arial"/>
        <family val="2"/>
      </rPr>
      <t>(#3 vs #1)</t>
    </r>
  </si>
  <si>
    <t>Peters-1993 Runners</t>
  </si>
  <si>
    <r>
      <rPr>
        <b val="true"/>
        <sz val="10"/>
        <rFont val="Arial"/>
        <family val="2"/>
      </rPr>
      <t>Peters 1993</t>
    </r>
    <r>
      <rPr>
        <sz val="10"/>
        <rFont val="Arial"/>
        <family val="2"/>
      </rPr>
      <t>a</t>
    </r>
    <r>
      <rPr>
        <sz val="10"/>
        <rFont val="Arial"/>
        <family val="2"/>
      </rPr>
      <t> Sedentary</t>
    </r>
  </si>
  <si>
    <t>Peters 1996 Runners</t>
  </si>
  <si>
    <t>Peters-1996a Sedentary</t>
  </si>
  <si>
    <t>Children</t>
  </si>
  <si>
    <t>Constantini 2011 Male</t>
  </si>
  <si>
    <t>Constantini 2011a Female</t>
  </si>
  <si>
    <t>Coulehan-1974 LOW</t>
  </si>
  <si>
    <t>Coulehan-1974a UP</t>
  </si>
  <si>
    <t>Ludvigsson-1977 Pilot</t>
  </si>
  <si>
    <t>Ludvigsson-1977a Large</t>
  </si>
  <si>
    <t>Miller-1977_1000mg</t>
  </si>
  <si>
    <t>Miller-1977a_750mg</t>
  </si>
  <si>
    <t>Miller-1977b_500mg</t>
  </si>
  <si>
    <t>Wilson_1973 Girls</t>
  </si>
  <si>
    <r>
      <rPr>
        <b val="true"/>
        <sz val="10"/>
        <rFont val="Arial"/>
        <family val="2"/>
      </rPr>
      <t>Wilson_1973</t>
    </r>
    <r>
      <rPr>
        <sz val="10"/>
        <rFont val="Arial"/>
        <family val="2"/>
      </rPr>
      <t>a</t>
    </r>
    <r>
      <rPr>
        <sz val="10"/>
        <rFont val="Arial"/>
        <family val="2"/>
      </rPr>
      <t> Boys</t>
    </r>
  </si>
  <si>
    <t>Treatment: cold duration</t>
  </si>
  <si>
    <t>Anderson-1974d #7 (4g)</t>
  </si>
  <si>
    <t>Anderson-1974e #8 (8g)</t>
  </si>
  <si>
    <t>Anderson 1975 tablet</t>
  </si>
  <si>
    <t>Anderson 1975b capsule</t>
  </si>
  <si>
    <t>Audera 2001 (1 g/day)</t>
  </si>
  <si>
    <t>yht</t>
  </si>
  <si>
    <t>Audera 2001a (3 g/day)</t>
  </si>
  <si>
    <t>Cowan 1950a (Phenindamin)</t>
  </si>
  <si>
    <t>Karlowski 1975 #1</t>
  </si>
  <si>
    <t>Karlowski 1975c (#3 vs #2)</t>
  </si>
  <si>
    <t>Tyrrell 1977 (Males)</t>
  </si>
  <si>
    <t>Males vit C 1 cold</t>
  </si>
  <si>
    <t>2+ colds</t>
  </si>
  <si>
    <t>Males Placebo 1 cold</t>
  </si>
  <si>
    <t>2+cold</t>
  </si>
  <si>
    <t>Tyrrell 1977a (Females)</t>
  </si>
  <si>
    <t>Females vit C 1 cold</t>
  </si>
  <si>
    <t>This sheet shows data extracted for Analyses 4 and 6</t>
  </si>
  <si>
    <t>Ratio for</t>
  </si>
  <si>
    <t>Analysis 4</t>
  </si>
  <si>
    <t>Severity</t>
  </si>
  <si>
    <t>SD / mean</t>
  </si>
  <si>
    <t>Ratio for SD from 1972 for 1974</t>
  </si>
  <si>
    <t>days indoors</t>
  </si>
  <si>
    <t>off school</t>
  </si>
  <si>
    <t>constitutional
symptoms</t>
  </si>
  <si>
    <t>score</t>
  </si>
  <si>
    <t>Carr Together SD-value  is imputed from the SD-value calculated for Carr Apart</t>
  </si>
  <si>
    <t>Severity scale starts from 1</t>
  </si>
  <si>
    <t>Thus, 1 is subtracted from the reported values</t>
  </si>
  <si>
    <t>These are deleted if we restrict SEVERITY  to &gt;1 g/day studies</t>
  </si>
  <si>
    <t>Treatment: severity</t>
  </si>
  <si>
    <t>Confined</t>
  </si>
  <si>
    <t>indoors</t>
  </si>
  <si>
    <t>(off work)</t>
  </si>
  <si>
    <t>SD/pers</t>
  </si>
  <si>
    <t>per group</t>
  </si>
  <si>
    <t>Ratio for SD from 1975 for 1974</t>
  </si>
  <si>
    <t>Anderson 1975a capsule</t>
  </si>
  <si>
    <t>off work</t>
  </si>
  <si>
    <t>This sheet has collected the data </t>
  </si>
  <si>
    <t>published by Elwood (1977) below</t>
  </si>
  <si>
    <t>published by Charleston (1972) on the right</t>
  </si>
  <si>
    <t>Imputed for Craig (1977) on the basis of published data further on the right</t>
  </si>
  <si>
    <t>MALES</t>
  </si>
  <si>
    <t>FEMALES</t>
  </si>
  <si>
    <t>ID</t>
  </si>
  <si>
    <t>Days</t>
  </si>
  <si>
    <t>Censor</t>
  </si>
  <si>
    <t>VitC</t>
  </si>
  <si>
    <t>Elwood77MS</t>
  </si>
  <si>
    <t>Elwood77WS</t>
  </si>
  <si>
    <t>Charleston</t>
  </si>
  <si>
    <t>TTEST</t>
  </si>
  <si>
    <t>Craig</t>
  </si>
  <si>
    <t>SD from P = 0.045</t>
  </si>
  <si>
    <t>&lt; SD for the 8 patients</t>
  </si>
  <si>
    <t>Males simple</t>
  </si>
  <si>
    <t>Males chest</t>
  </si>
  <si>
    <t>From the left</t>
  </si>
  <si>
    <t>Counts</t>
  </si>
  <si>
    <t>Females simple</t>
  </si>
  <si>
    <t>Difference</t>
  </si>
  <si>
    <t>Females chest</t>
  </si>
  <si>
    <t>All 65 participants in vitamin C group</t>
  </si>
  <si>
    <t>ALL</t>
  </si>
  <si>
    <t>to 100% scale (division by placebo group mean duration</t>
  </si>
  <si>
    <t>to RevMan</t>
  </si>
  <si>
    <t>Here we conservatively assume</t>
  </si>
  <si>
    <t>that the vitamin C group is somewhat smaller than </t>
  </si>
  <si>
    <t>the placebo group (30 vs 36 colds)</t>
  </si>
  <si>
    <t>Previous calculation</t>
  </si>
  <si>
    <t>with N = 135</t>
  </si>
  <si>
    <t>SD from P</t>
  </si>
  <si>
    <t>&lt; SD for the 11 patients</t>
  </si>
  <si>
    <t>All 65 participants</t>
  </si>
  <si>
    <t>previous calculation</t>
  </si>
  <si>
    <t>Elwood77WC</t>
  </si>
  <si>
    <t>Elwood77MC</t>
  </si>
  <si>
    <t>Calculation of SD from reported P or SE</t>
  </si>
  <si>
    <t>Testing that the calculated SDs are consistent</t>
  </si>
  <si>
    <t>Charleston 1971</t>
  </si>
  <si>
    <t>df:</t>
  </si>
  <si>
    <t>as test that</t>
  </si>
  <si>
    <t>P</t>
  </si>
  <si>
    <t>t(0.05;  122 df)</t>
  </si>
  <si>
    <t>SD_pooled</t>
  </si>
  <si>
    <t>Diff</t>
  </si>
  <si>
    <t>t</t>
  </si>
  <si>
    <t>df</t>
  </si>
  <si>
    <t>P-value gives correct SD</t>
  </si>
  <si>
    <t>Var_pooled</t>
  </si>
  <si>
    <t>&gt;&gt;&gt;</t>
  </si>
  <si>
    <t>Same SD</t>
  </si>
  <si>
    <t>t(0.05)</t>
  </si>
  <si>
    <t>Total days off work</t>
  </si>
  <si>
    <t>Days off work per person</t>
  </si>
  <si>
    <t>Variance</t>
  </si>
  <si>
    <t>N in group who were off work</t>
  </si>
  <si>
    <t>Sum Squares within the subgroup who stayed off work (N = 8)</t>
  </si>
  <si>
    <t>Sum of squares for the difference in group average and subgroup average for days off work (N = 8)</t>
  </si>
  <si>
    <t>N in whole group</t>
  </si>
  <si>
    <t>Conservative assumption for randomized distribution</t>
  </si>
  <si>
    <t>N for without days off work</t>
  </si>
  <si>
    <t>sum Squares for all without days off work</t>
  </si>
  <si>
    <t>Total sum of squares for those who were not off work and those who were off work</t>
  </si>
  <si>
    <t>Variance whole group</t>
  </si>
  <si>
    <t>SD whole group</t>
  </si>
  <si>
    <t>SD calculated from the P = 0.045 report</t>
  </si>
  <si>
    <t>Chi-sd(15 df)</t>
  </si>
  <si>
    <t>Apart</t>
  </si>
  <si>
    <t>Pairwise</t>
  </si>
  <si>
    <t>Calculation of corresponding un-paired SDs from published paired SEs</t>
  </si>
  <si>
    <t>Reported</t>
  </si>
  <si>
    <t>SE (paired)</t>
  </si>
  <si>
    <t>t (N-1df)</t>
  </si>
  <si>
    <t>t (2N-2df)</t>
  </si>
  <si>
    <t>SE un-paired</t>
  </si>
  <si>
    <t>test</t>
  </si>
  <si>
    <t>t (2N-1df)</t>
  </si>
  <si>
    <t>95% low</t>
  </si>
  <si>
    <t>95 % high</t>
  </si>
  <si>
    <t>1 g</t>
  </si>
  <si>
    <t>3 g</t>
  </si>
  <si>
    <t>Liz: the goal of this sheet is to calculate a more reaslistic estimate for SD per mean ratio</t>
  </si>
  <si>
    <t>In the 2004 version I calculated ratio 0.7 and took a conservative view and rounded it to 1.0</t>
  </si>
  <si>
    <t>We can as well analyze all studies that have reported empirical SD and mean </t>
  </si>
  <si>
    <t>and we can set our ratio to say 3rd quartile or to 80th decile</t>
  </si>
  <si>
    <t>If we take the 3rd quartile, then some 1 out of 4 of our SDs will be too large</t>
  </si>
  <si>
    <t>If we take the 80th decile, then some 1 out of 5 of our SDs will be too large</t>
  </si>
  <si>
    <t>The old ratio of 1.00 is too conservative, and we can allow some of the SDs to be too large</t>
  </si>
  <si>
    <t>So, the question is how much we consider ”reasonable”</t>
  </si>
  <si>
    <t>Furthermore, of the ratios that are large, 4 are by Wilson and 2 by van Straten, which are somewhat odd studies</t>
  </si>
  <si>
    <t>Furthermore, Anderson 1972, Ludvigsson Large and Elwood have one arm with ratio&gt;0.82, but if we pool with the other arm, we get pooled SD&lt;0.82</t>
  </si>
  <si>
    <t>The pooled estimate is more valid</t>
  </si>
  <si>
    <t>Thus, the coverage of 3rd quartile is probably much over 75% of the real distribution of the ratio</t>
  </si>
  <si>
    <t>Single groups</t>
  </si>
  <si>
    <t>Pooled 2 groups</t>
  </si>
  <si>
    <t>Vitamin C groups</t>
  </si>
  <si>
    <t>Placebo groups</t>
  </si>
  <si>
    <t>The ratios of SD per mean</t>
  </si>
  <si>
    <t>are ordered here to find out</t>
  </si>
  <si>
    <t>Pooled SD</t>
  </si>
  <si>
    <t>ordered</t>
  </si>
  <si>
    <t>the quartiles and the 80th decile</t>
  </si>
  <si>
    <t>Prevention trials</t>
  </si>
  <si>
    <t>for</t>
  </si>
  <si>
    <t>quartiles</t>
  </si>
  <si>
    <t>1nd quartile</t>
  </si>
  <si>
    <t>Half of the ratios</t>
  </si>
  <si>
    <t>are between</t>
  </si>
  <si>
    <t>twins</t>
  </si>
  <si>
    <t>0.50 and 0.80</t>
  </si>
  <si>
    <t>3rd quartile</t>
  </si>
  <si>
    <t>0.49 and 0.82</t>
  </si>
  <si>
    <t>Douglas</t>
  </si>
  <si>
    <t>These can be</t>
  </si>
  <si>
    <t>Wilson</t>
  </si>
  <si>
    <t>classified as</t>
  </si>
  <si>
    <t>van Straten</t>
  </si>
  <si>
    <t>outliers</t>
  </si>
  <si>
    <t>Total count</t>
  </si>
  <si>
    <t>Treatment trials</t>
  </si>
  <si>
    <t>80th decile</t>
  </si>
  <si>
    <t>Zinc lozenge trials</t>
  </si>
  <si>
    <t>Douglas 1987</t>
  </si>
  <si>
    <t>Godfrey 1992</t>
  </si>
  <si>
    <t>Macknin 1998</t>
  </si>
  <si>
    <t>Mossad 1996</t>
  </si>
  <si>
    <t>Petrus 1998</t>
  </si>
  <si>
    <t>Prasad 2000</t>
  </si>
  <si>
    <t>Prasad 2008</t>
  </si>
  <si>
    <t>Turner 2000 A</t>
  </si>
  <si>
    <t>Turner 2000 B</t>
  </si>
  <si>
    <t>Turner 2000 C</t>
  </si>
  <si>
    <t>The left-hand side of this sheet shows the duration of colds in days and the right-hand side shows the transformation to placebo=100% scale</t>
  </si>
  <si>
    <t>Bold here indicates figures that are entered to RevMan</t>
  </si>
  <si>
    <t>Per group</t>
  </si>
  <si>
    <t>Karlowski ALL arms</t>
  </si>
  <si>
    <t>Change</t>
  </si>
  <si>
    <t>N colds</t>
  </si>
  <si>
    <t>Ratio SD</t>
  </si>
  <si>
    <t>Var</t>
  </si>
  <si>
    <t>Inverse variance</t>
  </si>
  <si>
    <t>Anderson 1974 4&amp;8 g/day</t>
  </si>
  <si>
    <t>Residuals in linear regression</t>
  </si>
  <si>
    <t>Copy from sheet ”Severity per episode”</t>
  </si>
  <si>
    <t>Transformation to Placebo=100% scale</t>
  </si>
  <si>
    <t>Chi-square</t>
  </si>
  <si>
    <t>Heterogeneity P</t>
  </si>
  <si>
    <t>Z</t>
  </si>
  <si>
    <t>Analysis 2.1</t>
  </si>
  <si>
    <t>Analysis 2.2.1</t>
  </si>
  <si>
    <t>Analysis 2.2.2</t>
  </si>
  <si>
    <t>Analysis 3.1.1</t>
  </si>
  <si>
    <t>Analysis 3.1.2</t>
  </si>
  <si>
    <t>Analysis 4.1</t>
  </si>
  <si>
    <t>Days confined to house per PERSON</t>
  </si>
  <si>
    <t>Days confined to house per EPISODE</t>
  </si>
  <si>
    <t>Contact with children</t>
  </si>
  <si>
    <t>Usual colds</t>
  </si>
  <si>
    <t>Calculation from</t>
  </si>
  <si>
    <t>the estimate of effect</t>
  </si>
  <si>
    <t>and placebo group incidence</t>
  </si>
  <si>
    <t>New Table 1</t>
  </si>
  <si>
    <t>Estimated</t>
  </si>
  <si>
    <t>NNT calculations</t>
  </si>
  <si>
    <t>rate</t>
  </si>
  <si>
    <t>incidence</t>
  </si>
  <si>
    <t>NNTB</t>
  </si>
  <si>
    <t>x 0.49</t>
  </si>
  <si>
    <t>cONSTANTINI</t>
  </si>
  <si>
    <t>est</t>
  </si>
  <si>
    <t>exp</t>
  </si>
  <si>
    <t>nOT TO BE SAVED</t>
  </si>
  <si>
    <t>Confined to house</t>
  </si>
  <si>
    <t>Contact with young children=Yes</t>
  </si>
  <si>
    <t>Contact with young children=No</t>
  </si>
  <si>
    <t>Daily juice &gt;=4</t>
  </si>
  <si>
    <t>Daily juice 0-3</t>
  </si>
  <si>
    <t>vs</t>
  </si>
  <si>
    <t>Anderson 1974 trial</t>
  </si>
  <si>
    <t>1-DAY COLDS</t>
  </si>
  <si>
    <t>1day</t>
  </si>
  <si>
    <t>Epi</t>
  </si>
  <si>
    <t>Proportion</t>
  </si>
  <si>
    <t>1-day colds</t>
  </si>
  <si>
    <t>NoTher</t>
  </si>
  <si>
    <t>Ther 4 g single day</t>
  </si>
  <si>
    <t>8 g/day vs. placebo</t>
  </si>
  <si>
    <t>NNT</t>
  </si>
  <si>
    <t>8 g/day vs. 4 g/day</t>
  </si>
  <si>
    <t>ADVERSE EFFECTS</t>
  </si>
  <si>
    <t>SIDE EFFECTS</t>
  </si>
  <si>
    <t>Dropped for</t>
  </si>
  <si>
    <t>proportion</t>
  </si>
  <si>
    <t>p-days</t>
  </si>
  <si>
    <t>side effects</t>
  </si>
  <si>
    <t>1-2 g/day vit C</t>
  </si>
  <si>
    <t>No regular vit C</t>
  </si>
  <si>
    <t>p-days in side effect analysis</t>
  </si>
  <si>
    <t>pyrs</t>
  </si>
  <si>
    <t>Duration of treatment</t>
  </si>
  <si>
    <t>Dec 1 to Feb 28</t>
  </si>
  <si>
    <t>' = 31 + 31 + 28 = 90 days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</si>
</sst>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0%"/>
    <numFmt numFmtId="166" formatCode="0.0%"/>
    <numFmt numFmtId="167" formatCode="0.00"/>
    <numFmt numFmtId="168" formatCode="0"/>
    <numFmt numFmtId="169" formatCode="0.0"/>
    <numFmt numFmtId="170" formatCode="0.000"/>
    <numFmt numFmtId="171" formatCode="0.00%"/>
    <numFmt numFmtId="172" formatCode="0.000"/>
    <numFmt numFmtId="173" formatCode="0.00000"/>
    <numFmt numFmtId="174" formatCode="0.0000"/>
    <numFmt numFmtId="175" formatCode="0.000000"/>
    <numFmt numFmtId="176" formatCode="0.0000000"/>
    <numFmt numFmtId="177" formatCode="0%"/>
    <numFmt numFmtId="178" formatCode="0.000000"/>
    <numFmt numFmtId="179" formatCode="0.0000"/>
    <numFmt numFmtId="180" formatCode="0.00000"/>
    <numFmt numFmtId="181" formatCode="0.00E+00"/>
    <numFmt numFmtId="182" formatCode="0.00000000"/>
    <numFmt numFmtId="183" formatCode="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8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9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84"/>
  <sheetViews>
    <sheetView windowProtection="false" showFormulas="false" showGridLines="true" showRowColHeaders="true" showZeros="true" rightToLeft="false" tabSelected="false" showOutlineSymbols="true" defaultGridColor="true" view="normal" topLeftCell="B43" colorId="64" zoomScale="120" zoomScaleNormal="120" zoomScalePageLayoutView="100" workbookViewId="0">
      <selection pane="topLeft" activeCell="I85" activeCellId="0" sqref="I85"/>
    </sheetView>
  </sheetViews>
  <sheetFormatPr defaultRowHeight="14.1"/>
  <cols>
    <col collapsed="false" hidden="false" max="1" min="1" style="0" width="11.5204081632653"/>
    <col collapsed="false" hidden="false" max="2" min="2" style="0" width="17.9438775510204"/>
    <col collapsed="false" hidden="false" max="7" min="3" style="1" width="5.05612244897959"/>
    <col collapsed="false" hidden="false" max="8" min="8" style="0" width="11.5204081632653"/>
    <col collapsed="false" hidden="false" max="9" min="9" style="1" width="15.0459183673469"/>
    <col collapsed="false" hidden="false" max="10" min="10" style="1" width="14.9285714285714"/>
    <col collapsed="false" hidden="false" max="13" min="11" style="1" width="11.5204081632653"/>
    <col collapsed="false" hidden="false" max="1025" min="14" style="0" width="11.5204081632653"/>
  </cols>
  <sheetData>
    <row r="1" customFormat="false" ht="14.3" hidden="false" customHeight="false" outlineLevel="0" collapsed="false">
      <c r="B1" s="2" t="s">
        <v>0</v>
      </c>
      <c r="E1" s="1" t="s">
        <v>1</v>
      </c>
      <c r="G1" s="1" t="n">
        <f aca="false">COUNTA(C1:F1)</f>
        <v>1</v>
      </c>
      <c r="M1" s="1" t="s">
        <v>1</v>
      </c>
    </row>
    <row r="2" customFormat="false" ht="14.1" hidden="false" customHeight="false" outlineLevel="0" collapsed="false">
      <c r="B2" s="0" t="s">
        <v>2</v>
      </c>
      <c r="C2" s="1" t="s">
        <v>1</v>
      </c>
      <c r="G2" s="1" t="n">
        <f aca="false">COUNTA(C2:F2)</f>
        <v>1</v>
      </c>
      <c r="K2" s="1" t="s">
        <v>1</v>
      </c>
      <c r="M2" s="1" t="s">
        <v>1</v>
      </c>
    </row>
    <row r="3" customFormat="false" ht="14.1" hidden="false" customHeight="false" outlineLevel="0" collapsed="false">
      <c r="B3" s="0" t="s">
        <v>3</v>
      </c>
      <c r="C3" s="1" t="s">
        <v>1</v>
      </c>
      <c r="G3" s="1" t="n">
        <f aca="false">COUNTA(C3:F3)</f>
        <v>1</v>
      </c>
      <c r="K3" s="1" t="s">
        <v>1</v>
      </c>
      <c r="L3" s="1" t="s">
        <v>1</v>
      </c>
      <c r="M3" s="1" t="s">
        <v>1</v>
      </c>
    </row>
    <row r="4" customFormat="false" ht="14.1" hidden="false" customHeight="false" outlineLevel="0" collapsed="false">
      <c r="B4" s="0" t="s">
        <v>4</v>
      </c>
      <c r="C4" s="1" t="s">
        <v>1</v>
      </c>
      <c r="G4" s="1" t="n">
        <f aca="false">COUNTA(C4:F4)</f>
        <v>1</v>
      </c>
      <c r="K4" s="1" t="s">
        <v>1</v>
      </c>
    </row>
    <row r="5" customFormat="false" ht="14.1" hidden="false" customHeight="false" outlineLevel="0" collapsed="false">
      <c r="B5" s="0" t="s">
        <v>5</v>
      </c>
      <c r="C5" s="1" t="s">
        <v>1</v>
      </c>
      <c r="G5" s="1" t="n">
        <f aca="false">COUNTA(C5:F5)</f>
        <v>1</v>
      </c>
      <c r="K5" s="1" t="s">
        <v>1</v>
      </c>
    </row>
    <row r="6" customFormat="false" ht="14.1" hidden="false" customHeight="false" outlineLevel="0" collapsed="false">
      <c r="B6" s="0" t="s">
        <v>6</v>
      </c>
      <c r="C6" s="1" t="s">
        <v>1</v>
      </c>
      <c r="G6" s="1" t="n">
        <f aca="false">COUNTA(C6:F6)</f>
        <v>1</v>
      </c>
      <c r="K6" s="1" t="s">
        <v>1</v>
      </c>
    </row>
    <row r="7" customFormat="false" ht="14.1" hidden="false" customHeight="false" outlineLevel="0" collapsed="false">
      <c r="B7" s="0" t="s">
        <v>7</v>
      </c>
      <c r="D7" s="1" t="s">
        <v>1</v>
      </c>
      <c r="G7" s="1" t="n">
        <f aca="false">COUNTA(C7:F7)</f>
        <v>1</v>
      </c>
      <c r="K7" s="1" t="s">
        <v>1</v>
      </c>
    </row>
    <row r="8" customFormat="false" ht="14.1" hidden="false" customHeight="false" outlineLevel="0" collapsed="false">
      <c r="B8" s="0" t="s">
        <v>8</v>
      </c>
      <c r="D8" s="1" t="s">
        <v>1</v>
      </c>
      <c r="G8" s="1" t="n">
        <f aca="false">COUNTA(C8:F8)</f>
        <v>1</v>
      </c>
      <c r="K8" s="1" t="s">
        <v>1</v>
      </c>
    </row>
    <row r="9" customFormat="false" ht="14.1" hidden="false" customHeight="false" outlineLevel="0" collapsed="false">
      <c r="B9" s="0" t="s">
        <v>9</v>
      </c>
      <c r="D9" s="1" t="s">
        <v>1</v>
      </c>
      <c r="G9" s="1" t="n">
        <f aca="false">COUNTA(C9:F9)</f>
        <v>1</v>
      </c>
      <c r="K9" s="1" t="s">
        <v>1</v>
      </c>
      <c r="L9" s="1" t="s">
        <v>1</v>
      </c>
      <c r="M9" s="1" t="s">
        <v>1</v>
      </c>
    </row>
    <row r="10" customFormat="false" ht="14.1" hidden="false" customHeight="false" outlineLevel="0" collapsed="false">
      <c r="B10" s="0" t="s">
        <v>10</v>
      </c>
      <c r="D10" s="1" t="s">
        <v>1</v>
      </c>
      <c r="G10" s="1" t="n">
        <f aca="false">COUNTA(C10:F10)</f>
        <v>1</v>
      </c>
      <c r="K10" s="1" t="s">
        <v>1</v>
      </c>
    </row>
    <row r="11" customFormat="false" ht="14.3" hidden="false" customHeight="false" outlineLevel="0" collapsed="false">
      <c r="B11" s="0" t="s">
        <v>11</v>
      </c>
      <c r="E11" s="1" t="s">
        <v>1</v>
      </c>
      <c r="G11" s="1" t="n">
        <f aca="false">COUNTA(C11:F11)</f>
        <v>1</v>
      </c>
      <c r="J11" s="1" t="s">
        <v>1</v>
      </c>
      <c r="M11" s="1" t="s">
        <v>1</v>
      </c>
    </row>
    <row r="12" customFormat="false" ht="14.3" hidden="false" customHeight="false" outlineLevel="0" collapsed="false">
      <c r="B12" s="0" t="s">
        <v>12</v>
      </c>
      <c r="D12" s="1" t="s">
        <v>1</v>
      </c>
      <c r="G12" s="1" t="n">
        <f aca="false">COUNTA(C12:F12)</f>
        <v>1</v>
      </c>
      <c r="I12" s="1" t="s">
        <v>13</v>
      </c>
      <c r="L12" s="1" t="s">
        <v>1</v>
      </c>
      <c r="M12" s="1" t="s">
        <v>1</v>
      </c>
    </row>
    <row r="13" customFormat="false" ht="14.3" hidden="false" customHeight="false" outlineLevel="0" collapsed="false">
      <c r="B13" s="0" t="s">
        <v>14</v>
      </c>
      <c r="D13" s="1" t="s">
        <v>1</v>
      </c>
      <c r="G13" s="1" t="n">
        <f aca="false">COUNTA(C13:F13)</f>
        <v>1</v>
      </c>
      <c r="I13" s="1" t="s">
        <v>13</v>
      </c>
    </row>
    <row r="14" customFormat="false" ht="14.3" hidden="false" customHeight="false" outlineLevel="0" collapsed="false">
      <c r="B14" s="0" t="s">
        <v>15</v>
      </c>
      <c r="C14" s="1" t="s">
        <v>1</v>
      </c>
      <c r="G14" s="1" t="n">
        <f aca="false">COUNTA(C14:F14)</f>
        <v>1</v>
      </c>
      <c r="M14" s="1" t="s">
        <v>1</v>
      </c>
    </row>
    <row r="15" customFormat="false" ht="14.3" hidden="false" customHeight="false" outlineLevel="0" collapsed="false">
      <c r="B15" s="0" t="s">
        <v>16</v>
      </c>
      <c r="C15" s="1" t="s">
        <v>1</v>
      </c>
      <c r="G15" s="1" t="n">
        <f aca="false">COUNTA(C15:F15)</f>
        <v>1</v>
      </c>
      <c r="I15" s="1" t="s">
        <v>13</v>
      </c>
      <c r="M15" s="1" t="s">
        <v>1</v>
      </c>
    </row>
    <row r="16" customFormat="false" ht="14.3" hidden="false" customHeight="false" outlineLevel="0" collapsed="false">
      <c r="B16" s="3" t="s">
        <v>17</v>
      </c>
      <c r="E16" s="1" t="s">
        <v>1</v>
      </c>
      <c r="G16" s="1" t="n">
        <f aca="false">COUNTA(C16:F16)</f>
        <v>1</v>
      </c>
      <c r="M16" s="1" t="s">
        <v>1</v>
      </c>
    </row>
    <row r="17" customFormat="false" ht="14.3" hidden="false" customHeight="false" outlineLevel="0" collapsed="false">
      <c r="B17" s="0" t="s">
        <v>18</v>
      </c>
      <c r="C17" s="1" t="s">
        <v>1</v>
      </c>
      <c r="G17" s="1" t="n">
        <f aca="false">COUNTA(C17:F17)</f>
        <v>1</v>
      </c>
      <c r="J17" s="1" t="s">
        <v>1</v>
      </c>
      <c r="K17" s="1" t="s">
        <v>1</v>
      </c>
      <c r="L17" s="1" t="s">
        <v>1</v>
      </c>
      <c r="M17" s="1" t="s">
        <v>1</v>
      </c>
    </row>
    <row r="18" customFormat="false" ht="14.3" hidden="false" customHeight="false" outlineLevel="0" collapsed="false">
      <c r="B18" s="0" t="s">
        <v>19</v>
      </c>
      <c r="C18" s="1" t="s">
        <v>1</v>
      </c>
      <c r="G18" s="1" t="n">
        <f aca="false">COUNTA(C18:F18)</f>
        <v>1</v>
      </c>
      <c r="J18" s="1" t="s">
        <v>1</v>
      </c>
      <c r="K18" s="1" t="s">
        <v>1</v>
      </c>
    </row>
    <row r="19" customFormat="false" ht="14.3" hidden="false" customHeight="false" outlineLevel="0" collapsed="false">
      <c r="B19" s="0" t="s">
        <v>20</v>
      </c>
      <c r="C19" s="1" t="s">
        <v>1</v>
      </c>
      <c r="G19" s="1" t="n">
        <f aca="false">COUNTA(C19:F19)</f>
        <v>1</v>
      </c>
      <c r="I19" s="1" t="s">
        <v>13</v>
      </c>
      <c r="K19" s="1" t="s">
        <v>1</v>
      </c>
      <c r="L19" s="1" t="s">
        <v>1</v>
      </c>
      <c r="M19" s="1" t="s">
        <v>1</v>
      </c>
    </row>
    <row r="20" customFormat="false" ht="14.3" hidden="false" customHeight="false" outlineLevel="0" collapsed="false">
      <c r="B20" s="0" t="s">
        <v>21</v>
      </c>
      <c r="C20" s="1" t="s">
        <v>1</v>
      </c>
      <c r="G20" s="1" t="n">
        <f aca="false">COUNTA(C20:F20)</f>
        <v>1</v>
      </c>
      <c r="I20" s="1" t="s">
        <v>13</v>
      </c>
      <c r="K20" s="1" t="s">
        <v>1</v>
      </c>
    </row>
    <row r="21" customFormat="false" ht="14.3" hidden="false" customHeight="false" outlineLevel="0" collapsed="false">
      <c r="B21" s="0" t="s">
        <v>22</v>
      </c>
      <c r="C21" s="1" t="s">
        <v>1</v>
      </c>
      <c r="G21" s="1" t="n">
        <f aca="false">COUNTA(C21:F21)</f>
        <v>1</v>
      </c>
      <c r="M21" s="1" t="s">
        <v>1</v>
      </c>
    </row>
    <row r="22" customFormat="false" ht="14.1" hidden="false" customHeight="false" outlineLevel="0" collapsed="false">
      <c r="B22" s="0" t="s">
        <v>23</v>
      </c>
      <c r="C22" s="1" t="s">
        <v>1</v>
      </c>
      <c r="G22" s="1" t="n">
        <f aca="false">COUNTA(C22:F22)</f>
        <v>1</v>
      </c>
      <c r="M22" s="1" t="s">
        <v>1</v>
      </c>
    </row>
    <row r="23" customFormat="false" ht="14.3" hidden="false" customHeight="false" outlineLevel="0" collapsed="false">
      <c r="B23" s="0" t="s">
        <v>24</v>
      </c>
      <c r="C23" s="1" t="s">
        <v>1</v>
      </c>
      <c r="G23" s="1" t="n">
        <f aca="false">COUNTA(C23:F23)</f>
        <v>1</v>
      </c>
      <c r="M23" s="1" t="s">
        <v>1</v>
      </c>
    </row>
    <row r="24" customFormat="false" ht="14.3" hidden="false" customHeight="false" outlineLevel="0" collapsed="false">
      <c r="B24" s="0" t="s">
        <v>25</v>
      </c>
      <c r="C24" s="1" t="s">
        <v>1</v>
      </c>
      <c r="G24" s="1" t="n">
        <f aca="false">COUNTA(C24:F24)</f>
        <v>1</v>
      </c>
      <c r="K24" s="1" t="s">
        <v>1</v>
      </c>
      <c r="L24" s="1" t="s">
        <v>1</v>
      </c>
      <c r="M24" s="1" t="s">
        <v>1</v>
      </c>
    </row>
    <row r="25" customFormat="false" ht="14.3" hidden="false" customHeight="false" outlineLevel="0" collapsed="false">
      <c r="B25" s="0" t="s">
        <v>26</v>
      </c>
      <c r="C25" s="1" t="s">
        <v>1</v>
      </c>
      <c r="G25" s="1" t="n">
        <f aca="false">COUNTA(C25:F25)</f>
        <v>1</v>
      </c>
      <c r="K25" s="1" t="s">
        <v>1</v>
      </c>
    </row>
    <row r="26" customFormat="false" ht="14.3" hidden="false" customHeight="false" outlineLevel="0" collapsed="false">
      <c r="B26" s="0" t="s">
        <v>27</v>
      </c>
      <c r="C26" s="1" t="s">
        <v>1</v>
      </c>
      <c r="G26" s="1" t="n">
        <f aca="false">COUNTA(C26:F26)</f>
        <v>1</v>
      </c>
      <c r="L26" s="1" t="s">
        <v>1</v>
      </c>
      <c r="M26" s="1" t="s">
        <v>1</v>
      </c>
    </row>
    <row r="27" customFormat="false" ht="14.3" hidden="false" customHeight="false" outlineLevel="0" collapsed="false">
      <c r="B27" s="0" t="s">
        <v>28</v>
      </c>
      <c r="C27" s="1" t="s">
        <v>1</v>
      </c>
      <c r="G27" s="1" t="n">
        <f aca="false">COUNTA(C27:F27)</f>
        <v>1</v>
      </c>
      <c r="I27" s="1" t="s">
        <v>29</v>
      </c>
    </row>
    <row r="28" customFormat="false" ht="14.3" hidden="false" customHeight="false" outlineLevel="0" collapsed="false">
      <c r="B28" s="0" t="s">
        <v>30</v>
      </c>
      <c r="C28" s="1" t="s">
        <v>1</v>
      </c>
      <c r="G28" s="1" t="n">
        <f aca="false">COUNTA(C28:F28)</f>
        <v>1</v>
      </c>
      <c r="M28" s="1" t="s">
        <v>1</v>
      </c>
    </row>
    <row r="29" customFormat="false" ht="14.3" hidden="false" customHeight="false" outlineLevel="0" collapsed="false">
      <c r="B29" s="0" t="s">
        <v>31</v>
      </c>
      <c r="C29" s="1" t="s">
        <v>1</v>
      </c>
      <c r="G29" s="1" t="n">
        <f aca="false">COUNTA(C29:F29)</f>
        <v>1</v>
      </c>
      <c r="M29" s="1" t="s">
        <v>1</v>
      </c>
    </row>
    <row r="30" customFormat="false" ht="14.3" hidden="false" customHeight="false" outlineLevel="0" collapsed="false">
      <c r="B30" s="0" t="s">
        <v>32</v>
      </c>
      <c r="D30" s="1" t="s">
        <v>1</v>
      </c>
      <c r="G30" s="1" t="n">
        <f aca="false">COUNTA(C30:F30)</f>
        <v>1</v>
      </c>
      <c r="K30" s="1" t="s">
        <v>1</v>
      </c>
      <c r="L30" s="1" t="s">
        <v>1</v>
      </c>
      <c r="M30" s="1" t="s">
        <v>1</v>
      </c>
    </row>
    <row r="31" customFormat="false" ht="14.3" hidden="false" customHeight="false" outlineLevel="0" collapsed="false">
      <c r="B31" s="0" t="s">
        <v>33</v>
      </c>
      <c r="D31" s="1" t="s">
        <v>1</v>
      </c>
      <c r="G31" s="1" t="n">
        <f aca="false">COUNTA(C31:F31)</f>
        <v>1</v>
      </c>
      <c r="K31" s="1" t="s">
        <v>1</v>
      </c>
    </row>
    <row r="32" customFormat="false" ht="14.3" hidden="false" customHeight="false" outlineLevel="0" collapsed="false">
      <c r="B32" s="0" t="s">
        <v>34</v>
      </c>
      <c r="D32" s="1" t="s">
        <v>1</v>
      </c>
      <c r="G32" s="1" t="n">
        <f aca="false">COUNTA(C32:F32)</f>
        <v>1</v>
      </c>
      <c r="J32" s="1" t="s">
        <v>1</v>
      </c>
      <c r="M32" s="1" t="s">
        <v>1</v>
      </c>
    </row>
    <row r="33" customFormat="false" ht="14.3" hidden="false" customHeight="false" outlineLevel="0" collapsed="false">
      <c r="B33" s="0" t="s">
        <v>35</v>
      </c>
      <c r="C33" s="1" t="s">
        <v>1</v>
      </c>
      <c r="G33" s="1" t="n">
        <f aca="false">COUNTA(C33:F33)</f>
        <v>1</v>
      </c>
      <c r="M33" s="1" t="s">
        <v>1</v>
      </c>
    </row>
    <row r="34" customFormat="false" ht="14.1" hidden="false" customHeight="false" outlineLevel="0" collapsed="false">
      <c r="B34" s="0" t="s">
        <v>36</v>
      </c>
      <c r="F34" s="1" t="s">
        <v>1</v>
      </c>
      <c r="G34" s="1" t="n">
        <f aca="false">COUNTA(C34:F34)</f>
        <v>1</v>
      </c>
      <c r="J34" s="1" t="s">
        <v>1</v>
      </c>
      <c r="M34" s="1" t="s">
        <v>1</v>
      </c>
    </row>
    <row r="35" customFormat="false" ht="14.3" hidden="false" customHeight="false" outlineLevel="0" collapsed="false">
      <c r="B35" s="0" t="s">
        <v>37</v>
      </c>
      <c r="E35" s="1" t="s">
        <v>1</v>
      </c>
      <c r="G35" s="1" t="n">
        <f aca="false">COUNTA(C35:F35)</f>
        <v>1</v>
      </c>
      <c r="M35" s="1" t="s">
        <v>1</v>
      </c>
    </row>
    <row r="36" customFormat="false" ht="14.3" hidden="false" customHeight="false" outlineLevel="0" collapsed="false">
      <c r="B36" s="0" t="s">
        <v>38</v>
      </c>
      <c r="C36" s="1" t="s">
        <v>1</v>
      </c>
      <c r="G36" s="1" t="n">
        <f aca="false">COUNTA(C36:F36)</f>
        <v>1</v>
      </c>
      <c r="M36" s="1" t="s">
        <v>1</v>
      </c>
    </row>
    <row r="37" customFormat="false" ht="14.3" hidden="false" customHeight="false" outlineLevel="0" collapsed="false">
      <c r="B37" s="0" t="s">
        <v>39</v>
      </c>
      <c r="D37" s="1" t="s">
        <v>1</v>
      </c>
      <c r="G37" s="1" t="n">
        <f aca="false">COUNTA(C37:F37)</f>
        <v>1</v>
      </c>
      <c r="M37" s="1" t="s">
        <v>1</v>
      </c>
    </row>
    <row r="38" customFormat="false" ht="14.1" hidden="false" customHeight="false" outlineLevel="0" collapsed="false">
      <c r="B38" s="0" t="s">
        <v>40</v>
      </c>
      <c r="C38" s="1" t="s">
        <v>1</v>
      </c>
      <c r="G38" s="1" t="n">
        <f aca="false">COUNTA(C38:F38)</f>
        <v>1</v>
      </c>
      <c r="M38" s="1" t="s">
        <v>1</v>
      </c>
    </row>
    <row r="39" customFormat="false" ht="14.3" hidden="false" customHeight="false" outlineLevel="0" collapsed="false">
      <c r="B39" s="0" t="s">
        <v>41</v>
      </c>
      <c r="C39" s="1" t="s">
        <v>1</v>
      </c>
      <c r="G39" s="1" t="n">
        <f aca="false">COUNTA(C39:F39)</f>
        <v>1</v>
      </c>
      <c r="J39" s="1" t="s">
        <v>1</v>
      </c>
      <c r="M39" s="1" t="s">
        <v>1</v>
      </c>
    </row>
    <row r="40" customFormat="false" ht="14.3" hidden="false" customHeight="false" outlineLevel="0" collapsed="false">
      <c r="B40" s="0" t="s">
        <v>42</v>
      </c>
      <c r="C40" s="1" t="s">
        <v>1</v>
      </c>
      <c r="G40" s="1" t="n">
        <f aca="false">COUNTA(C40:F40)</f>
        <v>1</v>
      </c>
      <c r="J40" s="1" t="s">
        <v>1</v>
      </c>
      <c r="M40" s="1" t="s">
        <v>1</v>
      </c>
    </row>
    <row r="41" customFormat="false" ht="14.3" hidden="false" customHeight="false" outlineLevel="0" collapsed="false">
      <c r="B41" s="4" t="s">
        <v>43</v>
      </c>
      <c r="C41" s="1" t="s">
        <v>1</v>
      </c>
      <c r="G41" s="1" t="n">
        <f aca="false">COUNTA(C41:F41)</f>
        <v>1</v>
      </c>
      <c r="J41" s="1" t="s">
        <v>1</v>
      </c>
      <c r="L41" s="1" t="s">
        <v>1</v>
      </c>
      <c r="M41" s="1" t="s">
        <v>1</v>
      </c>
    </row>
    <row r="42" customFormat="false" ht="14.3" hidden="false" customHeight="false" outlineLevel="0" collapsed="false">
      <c r="B42" s="4" t="s">
        <v>44</v>
      </c>
      <c r="C42" s="1" t="s">
        <v>1</v>
      </c>
      <c r="G42" s="1" t="n">
        <f aca="false">COUNTA(C42:F42)</f>
        <v>1</v>
      </c>
      <c r="J42" s="1" t="s">
        <v>1</v>
      </c>
    </row>
    <row r="43" customFormat="false" ht="14.3" hidden="false" customHeight="false" outlineLevel="0" collapsed="false">
      <c r="B43" s="4" t="s">
        <v>45</v>
      </c>
      <c r="D43" s="1" t="s">
        <v>1</v>
      </c>
      <c r="G43" s="1" t="n">
        <f aca="false">COUNTA(C43:F43)</f>
        <v>1</v>
      </c>
      <c r="J43" s="1" t="s">
        <v>1</v>
      </c>
    </row>
    <row r="44" customFormat="false" ht="14.3" hidden="false" customHeight="false" outlineLevel="0" collapsed="false">
      <c r="B44" s="4" t="s">
        <v>46</v>
      </c>
      <c r="D44" s="1" t="s">
        <v>1</v>
      </c>
      <c r="G44" s="1" t="n">
        <f aca="false">COUNTA(C44:F44)</f>
        <v>1</v>
      </c>
      <c r="J44" s="1" t="s">
        <v>1</v>
      </c>
    </row>
    <row r="45" customFormat="false" ht="14.3" hidden="false" customHeight="false" outlineLevel="0" collapsed="false">
      <c r="B45" s="4" t="s">
        <v>47</v>
      </c>
      <c r="C45" s="1" t="s">
        <v>1</v>
      </c>
      <c r="G45" s="1" t="n">
        <f aca="false">COUNTA(C45:F45)</f>
        <v>1</v>
      </c>
      <c r="J45" s="1" t="s">
        <v>1</v>
      </c>
    </row>
    <row r="46" customFormat="false" ht="14.3" hidden="false" customHeight="false" outlineLevel="0" collapsed="false">
      <c r="B46" s="0" t="s">
        <v>48</v>
      </c>
      <c r="C46" s="1" t="s">
        <v>1</v>
      </c>
      <c r="G46" s="1" t="n">
        <f aca="false">COUNTA(C46:F46)</f>
        <v>1</v>
      </c>
      <c r="J46" s="1" t="s">
        <v>1</v>
      </c>
      <c r="M46" s="1" t="s">
        <v>1</v>
      </c>
    </row>
    <row r="47" customFormat="false" ht="14.3" hidden="false" customHeight="false" outlineLevel="0" collapsed="false">
      <c r="B47" s="0" t="s">
        <v>49</v>
      </c>
      <c r="C47" s="1" t="s">
        <v>1</v>
      </c>
      <c r="G47" s="1" t="n">
        <f aca="false">COUNTA(C47:F47)</f>
        <v>1</v>
      </c>
      <c r="I47" s="1" t="s">
        <v>13</v>
      </c>
      <c r="K47" s="1" t="s">
        <v>1</v>
      </c>
      <c r="L47" s="1" t="s">
        <v>1</v>
      </c>
      <c r="M47" s="1" t="s">
        <v>1</v>
      </c>
    </row>
    <row r="48" customFormat="false" ht="14.3" hidden="false" customHeight="false" outlineLevel="0" collapsed="false">
      <c r="B48" s="0" t="s">
        <v>50</v>
      </c>
      <c r="C48" s="1" t="s">
        <v>1</v>
      </c>
      <c r="G48" s="1" t="n">
        <f aca="false">COUNTA(C48:F48)</f>
        <v>1</v>
      </c>
      <c r="I48" s="1" t="s">
        <v>13</v>
      </c>
      <c r="K48" s="1" t="s">
        <v>1</v>
      </c>
    </row>
    <row r="49" customFormat="false" ht="14.1" hidden="false" customHeight="false" outlineLevel="0" collapsed="false">
      <c r="B49" s="0" t="s">
        <v>51</v>
      </c>
      <c r="C49" s="1" t="s">
        <v>1</v>
      </c>
      <c r="G49" s="1" t="n">
        <f aca="false">COUNTA(C49:F49)</f>
        <v>1</v>
      </c>
      <c r="I49" s="1" t="s">
        <v>13</v>
      </c>
      <c r="J49" s="1" t="s">
        <v>1</v>
      </c>
      <c r="K49" s="1" t="s">
        <v>1</v>
      </c>
      <c r="L49" s="1" t="s">
        <v>1</v>
      </c>
      <c r="M49" s="1" t="s">
        <v>1</v>
      </c>
    </row>
    <row r="50" customFormat="false" ht="14.1" hidden="false" customHeight="false" outlineLevel="0" collapsed="false">
      <c r="B50" s="0" t="s">
        <v>52</v>
      </c>
      <c r="C50" s="1" t="s">
        <v>1</v>
      </c>
      <c r="G50" s="1" t="n">
        <f aca="false">COUNTA(C50:F50)</f>
        <v>1</v>
      </c>
      <c r="I50" s="1" t="s">
        <v>13</v>
      </c>
      <c r="J50" s="1" t="s">
        <v>1</v>
      </c>
      <c r="K50" s="1" t="s">
        <v>1</v>
      </c>
    </row>
    <row r="51" customFormat="false" ht="14.1" hidden="false" customHeight="false" outlineLevel="0" collapsed="false">
      <c r="B51" s="0" t="s">
        <v>53</v>
      </c>
      <c r="C51" s="1" t="s">
        <v>1</v>
      </c>
      <c r="G51" s="1" t="n">
        <f aca="false">COUNTA(C51:F51)</f>
        <v>1</v>
      </c>
      <c r="I51" s="1" t="s">
        <v>13</v>
      </c>
      <c r="J51" s="1" t="s">
        <v>1</v>
      </c>
      <c r="K51" s="1" t="s">
        <v>1</v>
      </c>
    </row>
    <row r="52" customFormat="false" ht="14.3" hidden="false" customHeight="false" outlineLevel="0" collapsed="false">
      <c r="B52" s="0" t="s">
        <v>54</v>
      </c>
      <c r="C52" s="1" t="s">
        <v>1</v>
      </c>
      <c r="G52" s="1" t="n">
        <f aca="false">COUNTA(C52:F52)</f>
        <v>1</v>
      </c>
      <c r="M52" s="1" t="s">
        <v>1</v>
      </c>
    </row>
    <row r="53" customFormat="false" ht="14.3" hidden="false" customHeight="false" outlineLevel="0" collapsed="false">
      <c r="B53" s="0" t="s">
        <v>55</v>
      </c>
      <c r="C53" s="1" t="s">
        <v>1</v>
      </c>
      <c r="G53" s="1" t="n">
        <f aca="false">COUNTA(C53:F53)</f>
        <v>1</v>
      </c>
      <c r="K53" s="1" t="s">
        <v>1</v>
      </c>
    </row>
    <row r="54" customFormat="false" ht="14.1" hidden="false" customHeight="false" outlineLevel="0" collapsed="false">
      <c r="B54" s="0" t="s">
        <v>56</v>
      </c>
      <c r="C54" s="1" t="s">
        <v>1</v>
      </c>
      <c r="G54" s="1" t="n">
        <f aca="false">COUNTA(C54:F54)</f>
        <v>1</v>
      </c>
      <c r="I54" s="1" t="s">
        <v>57</v>
      </c>
      <c r="L54" s="1" t="s">
        <v>1</v>
      </c>
      <c r="M54" s="1" t="s">
        <v>1</v>
      </c>
    </row>
    <row r="55" customFormat="false" ht="14.1" hidden="false" customHeight="false" outlineLevel="0" collapsed="false">
      <c r="B55" s="0" t="s">
        <v>58</v>
      </c>
      <c r="C55" s="1" t="s">
        <v>1</v>
      </c>
      <c r="G55" s="1" t="n">
        <f aca="false">COUNTA(C55:F55)</f>
        <v>1</v>
      </c>
      <c r="I55" s="1" t="s">
        <v>57</v>
      </c>
    </row>
    <row r="56" customFormat="false" ht="14.1" hidden="false" customHeight="false" outlineLevel="0" collapsed="false">
      <c r="B56" s="0" t="s">
        <v>59</v>
      </c>
      <c r="C56" s="1" t="s">
        <v>1</v>
      </c>
      <c r="G56" s="1" t="n">
        <f aca="false">COUNTA(C56:F56)</f>
        <v>1</v>
      </c>
      <c r="I56" s="1" t="s">
        <v>57</v>
      </c>
      <c r="J56" s="1" t="s">
        <v>1</v>
      </c>
      <c r="L56" s="1" t="s">
        <v>1</v>
      </c>
      <c r="M56" s="1" t="s">
        <v>1</v>
      </c>
    </row>
    <row r="57" customFormat="false" ht="14.1" hidden="false" customHeight="false" outlineLevel="0" collapsed="false">
      <c r="B57" s="0" t="s">
        <v>60</v>
      </c>
      <c r="C57" s="1" t="s">
        <v>1</v>
      </c>
      <c r="G57" s="1" t="n">
        <f aca="false">COUNTA(C57:F57)</f>
        <v>1</v>
      </c>
      <c r="J57" s="1" t="s">
        <v>1</v>
      </c>
    </row>
    <row r="58" customFormat="false" ht="14.3" hidden="false" customHeight="false" outlineLevel="0" collapsed="false">
      <c r="B58" s="0" t="s">
        <v>61</v>
      </c>
      <c r="C58" s="1" t="s">
        <v>1</v>
      </c>
      <c r="G58" s="1" t="n">
        <f aca="false">COUNTA(C58:F58)</f>
        <v>1</v>
      </c>
      <c r="K58" s="1" t="s">
        <v>1</v>
      </c>
      <c r="M58" s="1" t="s">
        <v>1</v>
      </c>
    </row>
    <row r="59" customFormat="false" ht="14.3" hidden="false" customHeight="false" outlineLevel="0" collapsed="false">
      <c r="B59" s="0" t="s">
        <v>62</v>
      </c>
      <c r="E59" s="1" t="s">
        <v>1</v>
      </c>
      <c r="G59" s="1" t="n">
        <f aca="false">COUNTA(C59:F59)</f>
        <v>1</v>
      </c>
      <c r="J59" s="1" t="s">
        <v>1</v>
      </c>
      <c r="M59" s="1" t="s">
        <v>1</v>
      </c>
    </row>
    <row r="60" customFormat="false" ht="14.3" hidden="false" customHeight="false" outlineLevel="0" collapsed="false">
      <c r="B60" s="0" t="s">
        <v>63</v>
      </c>
      <c r="C60" s="1" t="s">
        <v>1</v>
      </c>
      <c r="G60" s="1" t="n">
        <f aca="false">COUNTA(C60:F60)</f>
        <v>1</v>
      </c>
      <c r="M60" s="1" t="s">
        <v>1</v>
      </c>
    </row>
    <row r="61" customFormat="false" ht="14.3" hidden="false" customHeight="false" outlineLevel="0" collapsed="false">
      <c r="B61" s="0" t="s">
        <v>64</v>
      </c>
      <c r="C61" s="1" t="s">
        <v>1</v>
      </c>
      <c r="G61" s="1" t="n">
        <f aca="false">COUNTA(C61:F61)</f>
        <v>1</v>
      </c>
      <c r="K61" s="1" t="s">
        <v>1</v>
      </c>
      <c r="M61" s="1" t="s">
        <v>1</v>
      </c>
    </row>
    <row r="62" customFormat="false" ht="14.3" hidden="false" customHeight="false" outlineLevel="0" collapsed="false">
      <c r="B62" s="0" t="s">
        <v>65</v>
      </c>
      <c r="C62" s="1" t="s">
        <v>1</v>
      </c>
      <c r="G62" s="1" t="n">
        <f aca="false">COUNTA(C62:F62)</f>
        <v>1</v>
      </c>
      <c r="I62" s="1" t="s">
        <v>13</v>
      </c>
      <c r="J62" s="1" t="s">
        <v>1</v>
      </c>
      <c r="K62" s="1" t="s">
        <v>1</v>
      </c>
      <c r="M62" s="1" t="s">
        <v>1</v>
      </c>
    </row>
    <row r="63" customFormat="false" ht="14.3" hidden="false" customHeight="false" outlineLevel="0" collapsed="false">
      <c r="B63" s="0" t="s">
        <v>66</v>
      </c>
      <c r="E63" s="1" t="s">
        <v>1</v>
      </c>
      <c r="G63" s="1" t="n">
        <f aca="false">COUNTA(C63:F63)</f>
        <v>1</v>
      </c>
      <c r="J63" s="1" t="s">
        <v>1</v>
      </c>
      <c r="M63" s="1" t="s">
        <v>1</v>
      </c>
    </row>
    <row r="64" customFormat="false" ht="14.3" hidden="false" customHeight="false" outlineLevel="0" collapsed="false">
      <c r="B64" s="0" t="s">
        <v>67</v>
      </c>
      <c r="F64" s="1" t="s">
        <v>1</v>
      </c>
      <c r="G64" s="1" t="n">
        <f aca="false">COUNTA(C64:F64)</f>
        <v>1</v>
      </c>
      <c r="J64" s="1" t="s">
        <v>1</v>
      </c>
      <c r="M64" s="1" t="s">
        <v>1</v>
      </c>
    </row>
    <row r="65" customFormat="false" ht="14.3" hidden="false" customHeight="false" outlineLevel="0" collapsed="false">
      <c r="B65" s="0" t="s">
        <v>68</v>
      </c>
      <c r="E65" s="1" t="s">
        <v>1</v>
      </c>
      <c r="G65" s="1" t="n">
        <f aca="false">COUNTA(C65:F65)</f>
        <v>1</v>
      </c>
      <c r="J65" s="1" t="s">
        <v>1</v>
      </c>
      <c r="M65" s="1" t="s">
        <v>1</v>
      </c>
    </row>
    <row r="66" customFormat="false" ht="14.3" hidden="false" customHeight="false" outlineLevel="0" collapsed="false">
      <c r="B66" s="0" t="s">
        <v>69</v>
      </c>
      <c r="D66" s="1" t="s">
        <v>1</v>
      </c>
      <c r="G66" s="1" t="n">
        <f aca="false">COUNTA(C66:F66)</f>
        <v>1</v>
      </c>
      <c r="L66" s="1" t="s">
        <v>1</v>
      </c>
      <c r="M66" s="1" t="s">
        <v>1</v>
      </c>
    </row>
    <row r="67" customFormat="false" ht="14.3" hidden="false" customHeight="false" outlineLevel="0" collapsed="false">
      <c r="B67" s="0" t="s">
        <v>70</v>
      </c>
      <c r="D67" s="1" t="s">
        <v>1</v>
      </c>
      <c r="G67" s="1" t="n">
        <f aca="false">COUNTA(C67:F67)</f>
        <v>1</v>
      </c>
    </row>
    <row r="68" customFormat="false" ht="14.3" hidden="false" customHeight="false" outlineLevel="0" collapsed="false">
      <c r="B68" s="0" t="s">
        <v>71</v>
      </c>
      <c r="C68" s="1" t="s">
        <v>1</v>
      </c>
      <c r="G68" s="1" t="n">
        <f aca="false">COUNTA(C68:F68)</f>
        <v>1</v>
      </c>
      <c r="M68" s="1" t="s">
        <v>1</v>
      </c>
    </row>
    <row r="69" customFormat="false" ht="14.3" hidden="false" customHeight="false" outlineLevel="0" collapsed="false">
      <c r="B69" s="0" t="s">
        <v>72</v>
      </c>
      <c r="F69" s="1" t="s">
        <v>1</v>
      </c>
      <c r="G69" s="1" t="n">
        <f aca="false">COUNTA(C69:F69)</f>
        <v>1</v>
      </c>
      <c r="M69" s="1" t="s">
        <v>1</v>
      </c>
    </row>
    <row r="70" customFormat="false" ht="14.3" hidden="false" customHeight="false" outlineLevel="0" collapsed="false">
      <c r="B70" s="0" t="s">
        <v>73</v>
      </c>
      <c r="C70" s="1" t="s">
        <v>1</v>
      </c>
      <c r="G70" s="1" t="n">
        <f aca="false">COUNTA(C70:F70)</f>
        <v>1</v>
      </c>
      <c r="J70" s="1" t="s">
        <v>1</v>
      </c>
      <c r="L70" s="1" t="s">
        <v>1</v>
      </c>
      <c r="M70" s="1" t="s">
        <v>1</v>
      </c>
    </row>
    <row r="71" customFormat="false" ht="14.3" hidden="false" customHeight="false" outlineLevel="0" collapsed="false">
      <c r="B71" s="0" t="s">
        <v>74</v>
      </c>
      <c r="C71" s="1" t="s">
        <v>1</v>
      </c>
      <c r="G71" s="1" t="n">
        <v>1</v>
      </c>
      <c r="J71" s="1" t="s">
        <v>1</v>
      </c>
    </row>
    <row r="73" customFormat="false" ht="14.3" hidden="false" customHeight="false" outlineLevel="0" collapsed="false">
      <c r="B73" s="5" t="s">
        <v>75</v>
      </c>
      <c r="C73" s="0"/>
      <c r="D73" s="0"/>
      <c r="E73" s="0"/>
      <c r="F73" s="0"/>
    </row>
    <row r="74" customFormat="false" ht="14.3" hidden="false" customHeight="false" outlineLevel="0" collapsed="false">
      <c r="B74" s="6" t="s">
        <v>76</v>
      </c>
      <c r="C74" s="7" t="n">
        <f aca="false">COUNTA(C1:C71)</f>
        <v>47</v>
      </c>
      <c r="D74" s="5"/>
      <c r="E74" s="5"/>
      <c r="F74" s="5"/>
      <c r="I74" s="7" t="n">
        <f aca="false">COUNTA(I1:I71)</f>
        <v>15</v>
      </c>
      <c r="J74" s="7" t="n">
        <f aca="false">COUNTA(J1:J71)</f>
        <v>25</v>
      </c>
      <c r="K74" s="7" t="n">
        <f aca="false">COUNTA(K1:K71)</f>
        <v>26</v>
      </c>
      <c r="L74" s="7" t="n">
        <f aca="false">COUNTA(L1:L71)</f>
        <v>15</v>
      </c>
      <c r="M74" s="7" t="n">
        <f aca="false">COUNTA(M1:M71)</f>
        <v>47</v>
      </c>
    </row>
    <row r="75" customFormat="false" ht="14.3" hidden="false" customHeight="false" outlineLevel="0" collapsed="false">
      <c r="B75" s="6" t="s">
        <v>77</v>
      </c>
      <c r="C75" s="7"/>
      <c r="D75" s="7" t="n">
        <f aca="false">COUNTA(D1:D71)</f>
        <v>14</v>
      </c>
      <c r="E75" s="7"/>
      <c r="F75" s="7"/>
      <c r="I75" s="1" t="s">
        <v>78</v>
      </c>
      <c r="J75" s="1" t="s">
        <v>79</v>
      </c>
      <c r="K75" s="1" t="s">
        <v>80</v>
      </c>
      <c r="L75" s="1" t="s">
        <v>81</v>
      </c>
      <c r="M75" s="1" t="s">
        <v>82</v>
      </c>
    </row>
    <row r="76" customFormat="false" ht="14.3" hidden="false" customHeight="false" outlineLevel="0" collapsed="false">
      <c r="B76" s="6" t="s">
        <v>83</v>
      </c>
      <c r="C76" s="7"/>
      <c r="D76" s="7"/>
      <c r="E76" s="7" t="n">
        <f aca="false">COUNTA(E1:E71)</f>
        <v>7</v>
      </c>
      <c r="F76" s="7"/>
      <c r="J76" s="1" t="s">
        <v>84</v>
      </c>
      <c r="K76" s="1" t="s">
        <v>85</v>
      </c>
      <c r="L76" s="1" t="s">
        <v>86</v>
      </c>
      <c r="M76" s="1" t="s">
        <v>87</v>
      </c>
    </row>
    <row r="77" customFormat="false" ht="14.3" hidden="false" customHeight="false" outlineLevel="0" collapsed="false">
      <c r="B77" s="6" t="s">
        <v>88</v>
      </c>
      <c r="C77" s="7"/>
      <c r="D77" s="7"/>
      <c r="E77" s="7"/>
      <c r="F77" s="7" t="n">
        <f aca="false">COUNTA(F1:F71)</f>
        <v>3</v>
      </c>
      <c r="I77" s="1" t="s">
        <v>89</v>
      </c>
      <c r="L77" s="1" t="s">
        <v>90</v>
      </c>
      <c r="M77" s="1" t="s">
        <v>91</v>
      </c>
    </row>
    <row r="78" customFormat="false" ht="14.3" hidden="false" customHeight="false" outlineLevel="0" collapsed="false">
      <c r="C78" s="7"/>
      <c r="D78" s="7"/>
      <c r="E78" s="7"/>
      <c r="F78" s="7"/>
      <c r="I78" s="1" t="s">
        <v>92</v>
      </c>
      <c r="L78" s="1" t="s">
        <v>93</v>
      </c>
    </row>
    <row r="79" customFormat="false" ht="14.3" hidden="false" customHeight="false" outlineLevel="0" collapsed="false">
      <c r="C79" s="0"/>
      <c r="D79" s="0"/>
      <c r="E79" s="0"/>
      <c r="F79" s="0"/>
      <c r="G79" s="0"/>
      <c r="I79" s="1" t="s">
        <v>94</v>
      </c>
      <c r="J79" s="7" t="n">
        <f aca="false">C82-J74</f>
        <v>46</v>
      </c>
      <c r="L79" s="1" t="s">
        <v>95</v>
      </c>
    </row>
    <row r="80" customFormat="false" ht="14.3" hidden="false" customHeight="false" outlineLevel="0" collapsed="false">
      <c r="I80" s="1" t="s">
        <v>96</v>
      </c>
      <c r="J80" s="1" t="s">
        <v>97</v>
      </c>
    </row>
    <row r="81" customFormat="false" ht="14.3" hidden="false" customHeight="false" outlineLevel="0" collapsed="false">
      <c r="I81" s="1" t="s">
        <v>98</v>
      </c>
      <c r="J81" s="1" t="s">
        <v>84</v>
      </c>
    </row>
    <row r="82" customFormat="false" ht="19.25" hidden="false" customHeight="false" outlineLevel="0" collapsed="false">
      <c r="B82" s="8" t="s">
        <v>99</v>
      </c>
      <c r="C82" s="9" t="n">
        <f aca="false">SUM(C74:F77)</f>
        <v>71</v>
      </c>
      <c r="D82" s="7"/>
      <c r="E82" s="7"/>
      <c r="F82" s="7"/>
      <c r="G82" s="9" t="n">
        <f aca="false">COUNT(G1:G71)</f>
        <v>71</v>
      </c>
      <c r="I82" s="1" t="s">
        <v>100</v>
      </c>
    </row>
    <row r="83" customFormat="false" ht="14.3" hidden="false" customHeight="false" outlineLevel="0" collapsed="false">
      <c r="I83" s="1" t="s">
        <v>96</v>
      </c>
    </row>
    <row r="84" customFormat="false" ht="14.3" hidden="false" customHeight="false" outlineLevel="0" collapsed="false">
      <c r="I84" s="1" t="s">
        <v>101</v>
      </c>
    </row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J78" activeCellId="0" sqref="J78"/>
    </sheetView>
  </sheetViews>
  <sheetFormatPr defaultRowHeight="12.8"/>
  <cols>
    <col collapsed="false" hidden="false" max="1" min="1" style="0" width="11.5204081632653"/>
    <col collapsed="false" hidden="false" max="2" min="2" style="0" width="23.2091836734694"/>
    <col collapsed="false" hidden="false" max="9" min="3" style="12" width="11.5204081632653"/>
    <col collapsed="false" hidden="false" max="10" min="10" style="0" width="11.5204081632653"/>
    <col collapsed="false" hidden="false" max="11" min="11" style="0" width="24.1887755102041"/>
    <col collapsed="false" hidden="false" max="1025" min="12" style="0" width="11.5204081632653"/>
  </cols>
  <sheetData>
    <row r="1" customFormat="false" ht="14.1" hidden="false" customHeight="true" outlineLevel="0" collapsed="false"/>
    <row r="2" s="3" customFormat="true" ht="22.8" hidden="false" customHeight="true" outlineLevel="0" collapsed="false">
      <c r="B2" s="69" t="s">
        <v>499</v>
      </c>
      <c r="C2" s="17"/>
      <c r="D2" s="17"/>
      <c r="E2" s="17"/>
      <c r="F2" s="17"/>
      <c r="G2" s="97"/>
      <c r="H2" s="17"/>
      <c r="I2" s="17"/>
      <c r="AMI2" s="0"/>
      <c r="AMJ2" s="0"/>
    </row>
    <row r="3" customFormat="false" ht="14.1" hidden="false" customHeight="true" outlineLevel="0" collapsed="false"/>
    <row r="4" customFormat="false" ht="14.1" hidden="false" customHeight="true" outlineLevel="0" collapsed="false"/>
    <row r="5" customFormat="false" ht="14.1" hidden="false" customHeight="true" outlineLevel="0" collapsed="false">
      <c r="B5" s="5" t="str">
        <f aca="false">'Days per Episode'!B6</f>
        <v>Duration in days per episode</v>
      </c>
      <c r="K5" s="5" t="str">
        <f aca="false">'Days per Episode'!W6</f>
        <v>Duration in days per episode</v>
      </c>
    </row>
    <row r="6" customFormat="false" ht="14.1" hidden="false" customHeight="true" outlineLevel="0" collapsed="false"/>
    <row r="7" customFormat="false" ht="14.1" hidden="false" customHeight="true" outlineLevel="0" collapsed="false">
      <c r="B7" s="5" t="str">
        <f aca="false">'Days per Episode'!B8</f>
        <v>Prophylaxis days adults</v>
      </c>
      <c r="K7" s="5" t="str">
        <f aca="false">'Days per Episode'!W8</f>
        <v>Prophylaxis days adults</v>
      </c>
      <c r="M7" s="5" t="s">
        <v>500</v>
      </c>
    </row>
    <row r="8" customFormat="false" ht="14.1" hidden="false" customHeight="true" outlineLevel="0" collapsed="false"/>
    <row r="9" customFormat="false" ht="14.1" hidden="false" customHeight="true" outlineLevel="0" collapsed="false">
      <c r="C9" s="6" t="s">
        <v>192</v>
      </c>
      <c r="D9" s="6"/>
      <c r="E9" s="6"/>
      <c r="F9" s="6"/>
      <c r="G9" s="6" t="s">
        <v>193</v>
      </c>
      <c r="H9" s="6"/>
      <c r="I9" s="6"/>
      <c r="J9" s="5"/>
      <c r="L9" s="5" t="str">
        <f aca="false">C9</f>
        <v>Vitamin C</v>
      </c>
      <c r="M9" s="5"/>
      <c r="N9" s="5"/>
      <c r="O9" s="5"/>
      <c r="P9" s="5" t="str">
        <f aca="false">G9</f>
        <v>Placebo</v>
      </c>
      <c r="Q9" s="5"/>
      <c r="R9" s="5"/>
      <c r="S9" s="5"/>
    </row>
    <row r="10" customFormat="false" ht="14.1" hidden="false" customHeight="true" outlineLevel="0" collapsed="false">
      <c r="C10" s="6"/>
      <c r="D10" s="6"/>
      <c r="E10" s="6"/>
      <c r="F10" s="6"/>
      <c r="G10" s="6"/>
      <c r="H10" s="6"/>
      <c r="I10" s="6"/>
      <c r="J10" s="5"/>
      <c r="L10" s="5"/>
      <c r="M10" s="5"/>
      <c r="N10" s="5"/>
      <c r="O10" s="5"/>
      <c r="P10" s="5"/>
      <c r="Q10" s="5"/>
      <c r="R10" s="5"/>
      <c r="S10" s="5"/>
    </row>
    <row r="11" customFormat="false" ht="14.1" hidden="false" customHeight="true" outlineLevel="0" collapsed="false">
      <c r="C11" s="6"/>
      <c r="D11" s="6"/>
      <c r="E11" s="6"/>
      <c r="F11" s="6"/>
      <c r="G11" s="6"/>
      <c r="H11" s="6"/>
      <c r="I11" s="6"/>
      <c r="J11" s="5"/>
      <c r="L11" s="5"/>
      <c r="M11" s="5"/>
      <c r="N11" s="5"/>
      <c r="O11" s="5"/>
      <c r="P11" s="5"/>
      <c r="Q11" s="5"/>
      <c r="R11" s="5"/>
      <c r="S11" s="5"/>
    </row>
    <row r="12" customFormat="false" ht="14.1" hidden="false" customHeight="true" outlineLevel="0" collapsed="false">
      <c r="C12" s="6" t="str">
        <f aca="false">'Days per Episode'!G13</f>
        <v>Episode</v>
      </c>
      <c r="D12" s="6"/>
      <c r="E12" s="6"/>
      <c r="F12" s="6"/>
      <c r="G12" s="6" t="str">
        <f aca="false">'Days per Episode'!Q13</f>
        <v>Episode</v>
      </c>
      <c r="H12" s="6"/>
      <c r="I12" s="6"/>
      <c r="J12" s="6"/>
      <c r="L12" s="6" t="str">
        <f aca="false">C12</f>
        <v>Episode</v>
      </c>
      <c r="M12" s="6"/>
      <c r="N12" s="6"/>
      <c r="O12" s="6"/>
      <c r="P12" s="6" t="str">
        <f aca="false">G12</f>
        <v>Episode</v>
      </c>
      <c r="Q12" s="6"/>
      <c r="R12" s="6"/>
      <c r="S12" s="6"/>
    </row>
    <row r="13" customFormat="false" ht="14.1" hidden="false" customHeight="true" outlineLevel="0" collapsed="false">
      <c r="C13" s="6" t="str">
        <f aca="false">'Days per Episode'!G14</f>
        <v>mean</v>
      </c>
      <c r="D13" s="6"/>
      <c r="E13" s="6" t="str">
        <f aca="false">'Days per Episode'!K14</f>
        <v>Episodes</v>
      </c>
      <c r="F13" s="6"/>
      <c r="G13" s="6" t="str">
        <f aca="false">'Days per Episode'!Q14</f>
        <v>mean</v>
      </c>
      <c r="H13" s="6"/>
      <c r="I13" s="6" t="str">
        <f aca="false">'Days per Episode'!U14</f>
        <v>Episodes</v>
      </c>
      <c r="J13" s="7" t="str">
        <f aca="false">'Days per Episode'!V14</f>
        <v>Per</v>
      </c>
      <c r="L13" s="6" t="str">
        <f aca="false">C13</f>
        <v>mean</v>
      </c>
      <c r="M13" s="6"/>
      <c r="N13" s="6" t="str">
        <f aca="false">E13</f>
        <v>Episodes</v>
      </c>
      <c r="O13" s="6"/>
      <c r="P13" s="6" t="str">
        <f aca="false">G13</f>
        <v>mean</v>
      </c>
      <c r="Q13" s="6"/>
      <c r="R13" s="6" t="str">
        <f aca="false">I13</f>
        <v>Episodes</v>
      </c>
      <c r="S13" s="7" t="str">
        <f aca="false">J13</f>
        <v>Per</v>
      </c>
    </row>
    <row r="14" customFormat="false" ht="14.1" hidden="false" customHeight="true" outlineLevel="0" collapsed="false">
      <c r="C14" s="6" t="str">
        <f aca="false">'Days per Episode'!G15</f>
        <v>days</v>
      </c>
      <c r="D14" s="6" t="str">
        <f aca="false">'Days per Episode'!J15</f>
        <v>SD</v>
      </c>
      <c r="E14" s="6" t="str">
        <f aca="false">'Days per Episode'!K15</f>
        <v>N</v>
      </c>
      <c r="F14" s="6"/>
      <c r="G14" s="6" t="str">
        <f aca="false">'Days per Episode'!Q15</f>
        <v>days</v>
      </c>
      <c r="H14" s="6" t="str">
        <f aca="false">'Days per Episode'!T15</f>
        <v>SD</v>
      </c>
      <c r="I14" s="6" t="str">
        <f aca="false">'Days per Episode'!U15</f>
        <v>N</v>
      </c>
      <c r="J14" s="7" t="str">
        <f aca="false">'Days per Episode'!V15</f>
        <v>arms</v>
      </c>
      <c r="L14" s="6" t="str">
        <f aca="false">C14</f>
        <v>days</v>
      </c>
      <c r="M14" s="6" t="str">
        <f aca="false">D14</f>
        <v>SD</v>
      </c>
      <c r="N14" s="6" t="str">
        <f aca="false">E14</f>
        <v>N</v>
      </c>
      <c r="O14" s="6"/>
      <c r="P14" s="6" t="str">
        <f aca="false">G14</f>
        <v>days</v>
      </c>
      <c r="Q14" s="6" t="str">
        <f aca="false">H14</f>
        <v>SD</v>
      </c>
      <c r="R14" s="6" t="str">
        <f aca="false">I14</f>
        <v>N</v>
      </c>
      <c r="S14" s="7" t="str">
        <f aca="false">J14</f>
        <v>arms</v>
      </c>
    </row>
    <row r="15" customFormat="false" ht="14.1" hidden="false" customHeight="true" outlineLevel="0" collapsed="false">
      <c r="J15" s="1"/>
      <c r="S15" s="1"/>
    </row>
    <row r="16" customFormat="false" ht="14.1" hidden="false" customHeight="true" outlineLevel="0" collapsed="false">
      <c r="J16" s="1"/>
      <c r="L16" s="5"/>
      <c r="M16" s="5"/>
      <c r="N16" s="5"/>
      <c r="O16" s="5"/>
      <c r="P16" s="5"/>
      <c r="Q16" s="5"/>
      <c r="R16" s="5"/>
      <c r="S16" s="7"/>
    </row>
    <row r="17" customFormat="false" ht="14.1" hidden="false" customHeight="true" outlineLevel="0" collapsed="false">
      <c r="B17" s="0" t="str">
        <f aca="false">'Days per Episode'!B18</f>
        <v>Anderson-1972</v>
      </c>
      <c r="C17" s="12" t="n">
        <f aca="false">'Days per Episode'!G18</f>
        <v>3.96</v>
      </c>
      <c r="D17" s="12" t="n">
        <f aca="false">'Days per Episode'!J18</f>
        <v>3.83704104747395</v>
      </c>
      <c r="E17" s="12" t="n">
        <f aca="false">'Days per Episode'!K18</f>
        <v>561</v>
      </c>
      <c r="G17" s="12" t="n">
        <f aca="false">'Days per Episode'!Q18</f>
        <v>4.18</v>
      </c>
      <c r="H17" s="12" t="n">
        <f aca="false">'Days per Episode'!T18</f>
        <v>3.43023162483235</v>
      </c>
      <c r="I17" s="12" t="n">
        <f aca="false">'Days per Episode'!U18</f>
        <v>609</v>
      </c>
      <c r="J17" s="1"/>
      <c r="K17" s="0" t="str">
        <f aca="false">'Days per Episode'!W18</f>
        <v>Anderson-1972</v>
      </c>
      <c r="L17" s="98" t="n">
        <f aca="false">C17/$G17*100</f>
        <v>94.7368421052632</v>
      </c>
      <c r="M17" s="96" t="n">
        <f aca="false">D17/$G17*100</f>
        <v>91.7952403701902</v>
      </c>
      <c r="N17" s="5" t="n">
        <f aca="false">E17</f>
        <v>561</v>
      </c>
      <c r="O17" s="5"/>
      <c r="P17" s="98" t="n">
        <f aca="false">G17/$G17*100</f>
        <v>100</v>
      </c>
      <c r="Q17" s="96" t="n">
        <f aca="false">H17/G17*100</f>
        <v>82.0629575318745</v>
      </c>
      <c r="R17" s="5" t="n">
        <f aca="false">I17</f>
        <v>609</v>
      </c>
      <c r="S17" s="7"/>
    </row>
    <row r="18" customFormat="false" ht="14.1" hidden="false" customHeight="true" outlineLevel="0" collapsed="false">
      <c r="B18" s="0" t="str">
        <f aca="false">'Days per Episode'!B20</f>
        <v>Anderson-1974 #1 (1+4g)</v>
      </c>
      <c r="C18" s="12" t="n">
        <f aca="false">'Days per Episode'!G20</f>
        <v>3.4151376146789</v>
      </c>
      <c r="D18" s="12" t="n">
        <f aca="false">'Days per Episode'!J20</f>
        <v>3.1077752293578</v>
      </c>
      <c r="E18" s="12" t="n">
        <f aca="false">'Days per Episode'!K20</f>
        <v>436</v>
      </c>
      <c r="G18" s="12" t="n">
        <f aca="false">'Days per Episode'!Q20</f>
        <v>3.52173913043478</v>
      </c>
      <c r="H18" s="12" t="n">
        <f aca="false">'Days per Episode'!T20</f>
        <v>3.20478260869565</v>
      </c>
      <c r="I18" s="12" t="n">
        <f aca="false">'Days per Episode'!U20</f>
        <v>437</v>
      </c>
      <c r="J18" s="39" t="n">
        <f aca="false">'Days per Episode'!V20</f>
        <v>104.515633571037</v>
      </c>
      <c r="K18" s="0" t="str">
        <f aca="false">'Days per Episode'!W20</f>
        <v>Anderson-1974 #1 (1+4g)</v>
      </c>
      <c r="L18" s="98" t="n">
        <f aca="false">C18/$G$18*100</f>
        <v>96.9730433797712</v>
      </c>
      <c r="M18" s="96" t="n">
        <f aca="false">D18/$G$18*100</f>
        <v>88.2454694755918</v>
      </c>
      <c r="N18" s="5" t="n">
        <f aca="false">E18</f>
        <v>436</v>
      </c>
      <c r="O18" s="5"/>
      <c r="P18" s="98" t="n">
        <f aca="false">G18/$G$18*100</f>
        <v>100</v>
      </c>
      <c r="Q18" s="96" t="n">
        <f aca="false">H18/G$18*100</f>
        <v>91</v>
      </c>
      <c r="R18" s="5" t="n">
        <f aca="false">I18</f>
        <v>437</v>
      </c>
      <c r="S18" s="24" t="n">
        <f aca="false">J18</f>
        <v>104.515633571037</v>
      </c>
    </row>
    <row r="19" customFormat="false" ht="14.1" hidden="false" customHeight="true" outlineLevel="0" collapsed="false">
      <c r="B19" s="0" t="str">
        <f aca="false">'Days per Episode'!B21</f>
        <v>Anderson-1974a #2 (1g)</v>
      </c>
      <c r="C19" s="12" t="n">
        <f aca="false">'Days per Episode'!G21</f>
        <v>3.34782608695652</v>
      </c>
      <c r="D19" s="12" t="n">
        <f aca="false">'Days per Episode'!J21</f>
        <v>3.04652173913043</v>
      </c>
      <c r="E19" s="12" t="n">
        <f aca="false">'Days per Episode'!K21</f>
        <v>414</v>
      </c>
      <c r="J19" s="39" t="n">
        <f aca="false">'Days per Episode'!V21</f>
        <v>99.2419089413055</v>
      </c>
      <c r="K19" s="0" t="str">
        <f aca="false">'Days per Episode'!W21</f>
        <v>Anderson-1974a #2 (1g)</v>
      </c>
      <c r="L19" s="98" t="n">
        <f aca="false">C19/$G$18*100</f>
        <v>95.0617283950617</v>
      </c>
      <c r="M19" s="96" t="n">
        <f aca="false">D19/$G$18*100</f>
        <v>86.5061728395062</v>
      </c>
      <c r="N19" s="5" t="n">
        <f aca="false">E19</f>
        <v>414</v>
      </c>
      <c r="O19" s="5"/>
      <c r="P19" s="98"/>
      <c r="Q19" s="96"/>
      <c r="R19" s="5"/>
      <c r="S19" s="24" t="n">
        <f aca="false">J19</f>
        <v>99.2419089413055</v>
      </c>
    </row>
    <row r="20" customFormat="false" ht="14.1" hidden="false" customHeight="true" outlineLevel="0" collapsed="false">
      <c r="B20" s="0" t="str">
        <f aca="false">'Days per Episode'!B22</f>
        <v>Anderson-1974b #3 (2 g)</v>
      </c>
      <c r="C20" s="12" t="n">
        <f aca="false">'Days per Episode'!G22</f>
        <v>3.22795698924731</v>
      </c>
      <c r="D20" s="12" t="n">
        <f aca="false">'Days per Episode'!J22</f>
        <v>2.93744086021505</v>
      </c>
      <c r="E20" s="12" t="n">
        <f aca="false">'Days per Episode'!K22</f>
        <v>465</v>
      </c>
      <c r="J20" s="39" t="n">
        <f aca="false">'Days per Episode'!V22</f>
        <v>111.467361492046</v>
      </c>
      <c r="K20" s="0" t="str">
        <f aca="false">'Days per Episode'!W22</f>
        <v>Anderson-1974b #3 (2 g)</v>
      </c>
      <c r="L20" s="98" t="n">
        <f aca="false">C20/$G$18*100</f>
        <v>91.6580379662817</v>
      </c>
      <c r="M20" s="96" t="n">
        <f aca="false">D20/$G$18*100</f>
        <v>83.4088145493164</v>
      </c>
      <c r="N20" s="5" t="n">
        <f aca="false">E20</f>
        <v>465</v>
      </c>
      <c r="O20" s="5"/>
      <c r="P20" s="98"/>
      <c r="Q20" s="96"/>
      <c r="R20" s="5"/>
      <c r="S20" s="24" t="n">
        <f aca="false">J20</f>
        <v>111.467361492046</v>
      </c>
    </row>
    <row r="21" customFormat="false" ht="14.1" hidden="false" customHeight="true" outlineLevel="0" collapsed="false">
      <c r="B21" s="0" t="str">
        <f aca="false">'Days per Episode'!B23</f>
        <v>Anderson-1974c #5 (0.25g)</v>
      </c>
      <c r="C21" s="12" t="n">
        <f aca="false">'Days per Episode'!G23</f>
        <v>3.11023622047244</v>
      </c>
      <c r="D21" s="12" t="n">
        <f aca="false">'Days per Episode'!J23</f>
        <v>2.83031496062992</v>
      </c>
      <c r="E21" s="12" t="n">
        <f aca="false">'Days per Episode'!K23</f>
        <v>508</v>
      </c>
      <c r="J21" s="39" t="n">
        <f aca="false">'Days per Episode'!V23</f>
        <v>121.775095995612</v>
      </c>
      <c r="K21" s="0" t="str">
        <f aca="false">'Days per Episode'!W23</f>
        <v>Anderson-1974c #5 (0.25g)</v>
      </c>
      <c r="L21" s="98" t="n">
        <f aca="false">C21/$G$18*100</f>
        <v>88.3153494702051</v>
      </c>
      <c r="M21" s="96" t="n">
        <f aca="false">D21/$G$18*100</f>
        <v>80.3669680178867</v>
      </c>
      <c r="N21" s="5" t="n">
        <f aca="false">E21</f>
        <v>508</v>
      </c>
      <c r="O21" s="5"/>
      <c r="P21" s="98"/>
      <c r="Q21" s="96"/>
      <c r="R21" s="5"/>
      <c r="S21" s="24" t="n">
        <f aca="false">J21</f>
        <v>121.775095995612</v>
      </c>
    </row>
    <row r="22" customFormat="false" ht="14.1" hidden="false" customHeight="true" outlineLevel="0" collapsed="false">
      <c r="L22" s="98"/>
      <c r="M22" s="96"/>
      <c r="N22" s="5"/>
      <c r="O22" s="5"/>
      <c r="P22" s="98"/>
      <c r="Q22" s="96"/>
      <c r="R22" s="5" t="n">
        <f aca="false">I22</f>
        <v>0</v>
      </c>
      <c r="S22" s="5"/>
    </row>
    <row r="23" customFormat="false" ht="14.1" hidden="false" customHeight="true" outlineLevel="0" collapsed="false">
      <c r="B23" s="0" t="str">
        <f aca="false">'Days per Episode'!B25</f>
        <v>Briggs-1984</v>
      </c>
      <c r="C23" s="12" t="n">
        <f aca="false">'Days per Episode'!G25</f>
        <v>3.12</v>
      </c>
      <c r="D23" s="12" t="n">
        <f aca="false">'Days per Episode'!J25</f>
        <v>2.8392</v>
      </c>
      <c r="E23" s="12" t="n">
        <f aca="false">'Days per Episode'!K25</f>
        <v>125</v>
      </c>
      <c r="G23" s="12" t="n">
        <f aca="false">'Days per Episode'!Q25</f>
        <v>3.32231404958678</v>
      </c>
      <c r="H23" s="12" t="n">
        <f aca="false">'Days per Episode'!T25</f>
        <v>3.02330578512397</v>
      </c>
      <c r="I23" s="12" t="n">
        <f aca="false">'Days per Episode'!U25</f>
        <v>121</v>
      </c>
      <c r="K23" s="0" t="str">
        <f aca="false">'Days per Episode'!W25</f>
        <v>Briggs-1984</v>
      </c>
      <c r="L23" s="98" t="n">
        <f aca="false">C23/$G23*100</f>
        <v>93.910447761194</v>
      </c>
      <c r="M23" s="96" t="n">
        <f aca="false">D23/$G23*100</f>
        <v>85.4585074626866</v>
      </c>
      <c r="N23" s="5" t="n">
        <f aca="false">E23</f>
        <v>125</v>
      </c>
      <c r="O23" s="5"/>
      <c r="P23" s="98" t="n">
        <f aca="false">G23/$G23*100</f>
        <v>100</v>
      </c>
      <c r="Q23" s="96" t="n">
        <f aca="false">H23/G23*100</f>
        <v>91</v>
      </c>
      <c r="R23" s="5" t="n">
        <f aca="false">I23</f>
        <v>121</v>
      </c>
      <c r="S23" s="5"/>
    </row>
    <row r="24" customFormat="false" ht="14.1" hidden="false" customHeight="true" outlineLevel="0" collapsed="false">
      <c r="B24" s="0" t="str">
        <f aca="false">'Days per Episode'!B26</f>
        <v>Carr-1981 Together</v>
      </c>
      <c r="C24" s="12" t="n">
        <f aca="false">'Days per Episode'!G26</f>
        <v>5.46</v>
      </c>
      <c r="D24" s="12" t="n">
        <f aca="false">'Days per Episode'!J26</f>
        <v>4.9686</v>
      </c>
      <c r="E24" s="12" t="n">
        <f aca="false">'Days per Episode'!K26</f>
        <v>93.84</v>
      </c>
      <c r="G24" s="12" t="n">
        <f aca="false">'Days per Episode'!Q26</f>
        <v>5.42</v>
      </c>
      <c r="H24" s="12" t="n">
        <f aca="false">'Days per Episode'!T26</f>
        <v>4.9322</v>
      </c>
      <c r="I24" s="12" t="n">
        <f aca="false">'Days per Episode'!U26</f>
        <v>69.87</v>
      </c>
      <c r="K24" s="0" t="str">
        <f aca="false">'Days per Episode'!W26</f>
        <v>Carr-1981 Together</v>
      </c>
      <c r="L24" s="98" t="n">
        <f aca="false">C24/$G24*100</f>
        <v>100.738007380074</v>
      </c>
      <c r="M24" s="96" t="n">
        <f aca="false">D24/$G24*100</f>
        <v>91.6715867158672</v>
      </c>
      <c r="N24" s="5" t="n">
        <f aca="false">E24</f>
        <v>93.84</v>
      </c>
      <c r="O24" s="5"/>
      <c r="P24" s="98" t="n">
        <f aca="false">G24/$G24*100</f>
        <v>100</v>
      </c>
      <c r="Q24" s="96" t="n">
        <f aca="false">H24/G24*100</f>
        <v>91</v>
      </c>
      <c r="R24" s="96" t="n">
        <f aca="false">I24</f>
        <v>69.87</v>
      </c>
      <c r="S24" s="5"/>
    </row>
    <row r="25" customFormat="false" ht="14.1" hidden="false" customHeight="true" outlineLevel="0" collapsed="false">
      <c r="B25" s="0" t="str">
        <f aca="false">'Days per Episode'!B27</f>
        <v>Carr-1981a Apart</v>
      </c>
      <c r="C25" s="12" t="n">
        <f aca="false">'Days per Episode'!G27</f>
        <v>4.86</v>
      </c>
      <c r="D25" s="12" t="n">
        <f aca="false">'Days per Episode'!J27</f>
        <v>4.52567453824279</v>
      </c>
      <c r="E25" s="12" t="n">
        <f aca="false">'Days per Episode'!K27</f>
        <v>57.2</v>
      </c>
      <c r="G25" s="12" t="n">
        <f aca="false">'Days per Episode'!Q27</f>
        <v>7.5</v>
      </c>
      <c r="H25" s="12" t="n">
        <f aca="false">'Days per Episode'!T27</f>
        <v>4.52567453824279</v>
      </c>
      <c r="I25" s="12" t="n">
        <f aca="false">'Days per Episode'!U27</f>
        <v>70.84</v>
      </c>
      <c r="K25" s="0" t="str">
        <f aca="false">'Days per Episode'!W27</f>
        <v>Carr-1981a Apart</v>
      </c>
      <c r="L25" s="98" t="n">
        <f aca="false">C25/$G25*100</f>
        <v>64.8</v>
      </c>
      <c r="M25" s="96" t="n">
        <f aca="false">D25/$G25*100</f>
        <v>60.3423271765705</v>
      </c>
      <c r="N25" s="98" t="n">
        <f aca="false">E25</f>
        <v>57.2</v>
      </c>
      <c r="O25" s="5"/>
      <c r="P25" s="98" t="n">
        <f aca="false">G25/$G25*100</f>
        <v>100</v>
      </c>
      <c r="Q25" s="96" t="n">
        <f aca="false">H25/G25*100</f>
        <v>60.3423271765705</v>
      </c>
      <c r="R25" s="96" t="n">
        <f aca="false">I25</f>
        <v>70.84</v>
      </c>
      <c r="S25" s="5"/>
    </row>
    <row r="26" customFormat="false" ht="14.1" hidden="false" customHeight="true" outlineLevel="0" collapsed="false">
      <c r="B26" s="0" t="str">
        <f aca="false">'Days per Episode'!B28</f>
        <v>Charleston-1972</v>
      </c>
      <c r="C26" s="12" t="n">
        <f aca="false">'Days per Episode'!G28</f>
        <v>3.54545454545455</v>
      </c>
      <c r="D26" s="12" t="n">
        <f aca="false">'Days per Episode'!J28</f>
        <v>1.93444355865111</v>
      </c>
      <c r="E26" s="12" t="n">
        <f aca="false">'Days per Episode'!K28</f>
        <v>44</v>
      </c>
      <c r="G26" s="12" t="n">
        <f aca="false">'Days per Episode'!Q28</f>
        <v>4.2125</v>
      </c>
      <c r="H26" s="12" t="n">
        <f aca="false">'Days per Episode'!T28</f>
        <v>0.822065167271128</v>
      </c>
      <c r="I26" s="12" t="n">
        <f aca="false">'Days per Episode'!U28</f>
        <v>80</v>
      </c>
      <c r="K26" s="0" t="str">
        <f aca="false">'Days per Episode'!W28</f>
        <v>Charleston-1972</v>
      </c>
      <c r="L26" s="98" t="n">
        <f aca="false">C26/$G26*100</f>
        <v>84.1650930671702</v>
      </c>
      <c r="M26" s="96" t="n">
        <f aca="false">D26/$G26*100</f>
        <v>45.9215088107088</v>
      </c>
      <c r="N26" s="5" t="n">
        <f aca="false">E26</f>
        <v>44</v>
      </c>
      <c r="O26" s="5"/>
      <c r="P26" s="98" t="n">
        <f aca="false">G26/$G26*100</f>
        <v>100</v>
      </c>
      <c r="Q26" s="96" t="n">
        <f aca="false">H26/G26*100</f>
        <v>19.5149001132612</v>
      </c>
      <c r="R26" s="5" t="n">
        <f aca="false">I26</f>
        <v>80</v>
      </c>
      <c r="S26" s="5"/>
    </row>
    <row r="27" customFormat="false" ht="14.1" hidden="false" customHeight="true" outlineLevel="0" collapsed="false">
      <c r="B27" s="0" t="str">
        <f aca="false">'Days per Episode'!B29</f>
        <v>Clegg-1975</v>
      </c>
      <c r="C27" s="12" t="n">
        <f aca="false">'Days per Episode'!G29</f>
        <v>7.2</v>
      </c>
      <c r="D27" s="12" t="n">
        <f aca="false">'Days per Episode'!J29</f>
        <v>3.1</v>
      </c>
      <c r="E27" s="12" t="n">
        <f aca="false">'Days per Episode'!K29</f>
        <v>68</v>
      </c>
      <c r="G27" s="12" t="n">
        <f aca="false">'Days per Episode'!Q29</f>
        <v>7.6</v>
      </c>
      <c r="H27" s="12" t="n">
        <f aca="false">'Days per Episode'!T29</f>
        <v>3</v>
      </c>
      <c r="I27" s="12" t="n">
        <f aca="false">'Days per Episode'!U29</f>
        <v>73</v>
      </c>
      <c r="K27" s="0" t="str">
        <f aca="false">'Days per Episode'!W29</f>
        <v>Clegg-1975</v>
      </c>
      <c r="L27" s="98" t="n">
        <f aca="false">C27/$G27*100</f>
        <v>94.7368421052632</v>
      </c>
      <c r="M27" s="96" t="n">
        <f aca="false">D27/$G27*100</f>
        <v>40.7894736842105</v>
      </c>
      <c r="N27" s="5" t="n">
        <f aca="false">E27</f>
        <v>68</v>
      </c>
      <c r="O27" s="5"/>
      <c r="P27" s="98" t="n">
        <f aca="false">G27/$G27*100</f>
        <v>100</v>
      </c>
      <c r="Q27" s="96" t="n">
        <f aca="false">H27/G27*100</f>
        <v>39.4736842105263</v>
      </c>
      <c r="R27" s="5" t="n">
        <f aca="false">I27</f>
        <v>73</v>
      </c>
      <c r="S27" s="5"/>
    </row>
    <row r="28" customFormat="false" ht="14.1" hidden="false" customHeight="true" outlineLevel="0" collapsed="false">
      <c r="B28" s="0" t="str">
        <f aca="false">'Days per Episode'!B30</f>
        <v>Elwood-1976</v>
      </c>
      <c r="C28" s="12" t="n">
        <f aca="false">'Days per Episode'!G30</f>
        <v>5.97</v>
      </c>
      <c r="D28" s="12" t="n">
        <f aca="false">'Days per Episode'!J30</f>
        <v>5.72712842531054</v>
      </c>
      <c r="E28" s="12" t="n">
        <f aca="false">'Days per Episode'!K30</f>
        <v>627</v>
      </c>
      <c r="G28" s="12" t="n">
        <f aca="false">'Days per Episode'!Q30</f>
        <v>6.38</v>
      </c>
      <c r="H28" s="12" t="n">
        <f aca="false">'Days per Episode'!T30</f>
        <v>6.33166644731069</v>
      </c>
      <c r="I28" s="12" t="n">
        <f aca="false">'Days per Episode'!U30</f>
        <v>690</v>
      </c>
      <c r="K28" s="0" t="str">
        <f aca="false">'Days per Episode'!W30</f>
        <v>Elwood-1976</v>
      </c>
      <c r="L28" s="98" t="n">
        <f aca="false">C28/$G28*100</f>
        <v>93.5736677115987</v>
      </c>
      <c r="M28" s="96" t="n">
        <f aca="false">D28/$G28*100</f>
        <v>89.7669032180336</v>
      </c>
      <c r="N28" s="5" t="n">
        <f aca="false">E28</f>
        <v>627</v>
      </c>
      <c r="O28" s="5"/>
      <c r="P28" s="98" t="n">
        <f aca="false">G28/$G28*100</f>
        <v>100</v>
      </c>
      <c r="Q28" s="96" t="n">
        <f aca="false">H28/G28*100</f>
        <v>99.2424208042428</v>
      </c>
      <c r="R28" s="5" t="n">
        <f aca="false">I28</f>
        <v>690</v>
      </c>
      <c r="S28" s="5"/>
    </row>
    <row r="29" customFormat="false" ht="14.1" hidden="false" customHeight="true" outlineLevel="0" collapsed="false">
      <c r="B29" s="0" t="str">
        <f aca="false">'Days per Episode'!B31</f>
        <v>Himmelstein 1998sed</v>
      </c>
      <c r="C29" s="12" t="n">
        <f aca="false">'Days per Episode'!G31</f>
        <v>2.5</v>
      </c>
      <c r="D29" s="12" t="n">
        <f aca="false">'Days per Episode'!J31</f>
        <v>1.1</v>
      </c>
      <c r="E29" s="12" t="n">
        <f aca="false">'Days per Episode'!K31</f>
        <v>14</v>
      </c>
      <c r="G29" s="12" t="n">
        <f aca="false">'Days per Episode'!Q31</f>
        <v>4.2</v>
      </c>
      <c r="H29" s="12" t="n">
        <f aca="false">'Days per Episode'!T31</f>
        <v>3.5</v>
      </c>
      <c r="I29" s="12" t="n">
        <f aca="false">'Days per Episode'!U31</f>
        <v>12</v>
      </c>
      <c r="K29" s="0" t="str">
        <f aca="false">'Days per Episode'!W31</f>
        <v>Himmelstein 1998sed</v>
      </c>
      <c r="L29" s="98" t="n">
        <f aca="false">C29/$G29*100</f>
        <v>59.5238095238095</v>
      </c>
      <c r="M29" s="96" t="n">
        <f aca="false">D29/$G29*100</f>
        <v>26.1904761904762</v>
      </c>
      <c r="N29" s="5" t="n">
        <f aca="false">E29</f>
        <v>14</v>
      </c>
      <c r="O29" s="5"/>
      <c r="P29" s="98" t="n">
        <f aca="false">G29/$G29*100</f>
        <v>100</v>
      </c>
      <c r="Q29" s="96" t="n">
        <f aca="false">H29/G29*100</f>
        <v>83.3333333333333</v>
      </c>
      <c r="R29" s="5" t="n">
        <f aca="false">I29</f>
        <v>12</v>
      </c>
      <c r="S29" s="5"/>
    </row>
    <row r="30" customFormat="false" ht="14.1" hidden="false" customHeight="true" outlineLevel="0" collapsed="false">
      <c r="L30" s="98"/>
      <c r="M30" s="96"/>
      <c r="N30" s="5"/>
      <c r="O30" s="5"/>
      <c r="P30" s="98"/>
      <c r="Q30" s="96"/>
      <c r="R30" s="5"/>
      <c r="S30" s="5"/>
    </row>
    <row r="31" customFormat="false" ht="14.1" hidden="false" customHeight="true" outlineLevel="0" collapsed="false">
      <c r="B31" s="0" t="str">
        <f aca="false">'Days per Episode'!B33</f>
        <v>Johnston 2014</v>
      </c>
      <c r="C31" s="12" t="n">
        <f aca="false">'Days per Episode'!G33</f>
        <v>2.2</v>
      </c>
      <c r="D31" s="12" t="n">
        <f aca="false">'Days per Episode'!J33</f>
        <v>1.4</v>
      </c>
      <c r="E31" s="12" t="n">
        <f aca="false">'Days per Episode'!K33</f>
        <v>12</v>
      </c>
      <c r="G31" s="12" t="n">
        <f aca="false">'Days per Episode'!Q33</f>
        <v>5.4</v>
      </c>
      <c r="H31" s="12" t="n">
        <f aca="false">'Days per Episode'!T33</f>
        <v>4.5</v>
      </c>
      <c r="I31" s="12" t="n">
        <f aca="false">'Days per Episode'!U33</f>
        <v>17</v>
      </c>
      <c r="K31" s="0" t="str">
        <f aca="false">'Days per Episode'!W33</f>
        <v>Johnston 2014</v>
      </c>
      <c r="L31" s="98" t="n">
        <f aca="false">C31/$G31*100</f>
        <v>40.7407407407407</v>
      </c>
      <c r="M31" s="96" t="n">
        <f aca="false">D31/$G31*100</f>
        <v>25.9259259259259</v>
      </c>
      <c r="N31" s="5" t="n">
        <f aca="false">E31</f>
        <v>12</v>
      </c>
      <c r="O31" s="5"/>
      <c r="P31" s="98" t="n">
        <f aca="false">G31/$G31*100</f>
        <v>100</v>
      </c>
      <c r="Q31" s="96" t="n">
        <f aca="false">H31/G31*100</f>
        <v>83.3333333333333</v>
      </c>
      <c r="R31" s="5" t="n">
        <f aca="false">I31</f>
        <v>17</v>
      </c>
      <c r="S31" s="5"/>
    </row>
    <row r="32" customFormat="false" ht="14.1" hidden="false" customHeight="true" outlineLevel="0" collapsed="false">
      <c r="B32" s="0" t="str">
        <f aca="false">'Days per Episode'!B34</f>
        <v>Karlowski 1975a (#2)</v>
      </c>
      <c r="C32" s="12" t="n">
        <f aca="false">'Days per Episode'!G34</f>
        <v>6.71</v>
      </c>
      <c r="D32" s="12" t="n">
        <f aca="false">'Days per Episode'!J34</f>
        <v>3.82188435199183</v>
      </c>
      <c r="E32" s="12" t="n">
        <f aca="false">'Days per Episode'!K34</f>
        <v>52</v>
      </c>
      <c r="G32" s="12" t="n">
        <f aca="false">'Days per Episode'!Q34</f>
        <v>7.14</v>
      </c>
      <c r="H32" s="12" t="n">
        <f aca="false">'Days per Episode'!T34</f>
        <v>3.70863856421733</v>
      </c>
      <c r="I32" s="12" t="n">
        <f aca="false">'Days per Episode'!U34</f>
        <v>65</v>
      </c>
      <c r="K32" s="0" t="str">
        <f aca="false">'Days per Episode'!W34</f>
        <v>Karlowski 1975a (#2)</v>
      </c>
      <c r="L32" s="98" t="n">
        <f aca="false">C32/$G32*100</f>
        <v>93.9775910364146</v>
      </c>
      <c r="M32" s="96" t="n">
        <f aca="false">D32/$G32*100</f>
        <v>53.5277920447035</v>
      </c>
      <c r="N32" s="5" t="n">
        <f aca="false">E32</f>
        <v>52</v>
      </c>
      <c r="O32" s="5"/>
      <c r="P32" s="98" t="n">
        <f aca="false">G32/$G32*100</f>
        <v>100</v>
      </c>
      <c r="Q32" s="96" t="n">
        <f aca="false">H32/G32*100</f>
        <v>51.9417165856769</v>
      </c>
      <c r="R32" s="5" t="n">
        <f aca="false">I32</f>
        <v>65</v>
      </c>
      <c r="S32" s="5"/>
    </row>
    <row r="33" customFormat="false" ht="14.1" hidden="false" customHeight="true" outlineLevel="0" collapsed="false">
      <c r="B33" s="0" t="str">
        <f aca="false">'Days per Episode'!B35</f>
        <v>Karlowski 1975d (#3 vs #1)</v>
      </c>
      <c r="C33" s="12" t="n">
        <f aca="false">'Days per Episode'!G35</f>
        <v>5.92</v>
      </c>
      <c r="D33" s="12" t="n">
        <f aca="false">'Days per Episode'!J35</f>
        <v>3.48711915483254</v>
      </c>
      <c r="E33" s="12" t="n">
        <f aca="false">'Days per Episode'!K35</f>
        <v>76</v>
      </c>
      <c r="G33" s="12" t="n">
        <f aca="false">'Days per Episode'!Q35</f>
        <v>6.46</v>
      </c>
      <c r="H33" s="12" t="n">
        <f aca="false">'Days per Episode'!T35</f>
        <v>2.91849276168367</v>
      </c>
      <c r="I33" s="12" t="n">
        <f aca="false">'Days per Episode'!U35</f>
        <v>56</v>
      </c>
      <c r="K33" s="0" t="str">
        <f aca="false">'Days per Episode'!W35</f>
        <v>Karlowski 1975d (#3 vs #1)</v>
      </c>
      <c r="L33" s="98" t="n">
        <f aca="false">C33/$G33*100</f>
        <v>91.640866873065</v>
      </c>
      <c r="M33" s="96" t="n">
        <f aca="false">D33/$G33*100</f>
        <v>53.9801726754263</v>
      </c>
      <c r="N33" s="5" t="n">
        <f aca="false">E33</f>
        <v>76</v>
      </c>
      <c r="O33" s="5"/>
      <c r="P33" s="98" t="n">
        <f aca="false">G33/$G33*100</f>
        <v>100</v>
      </c>
      <c r="Q33" s="96" t="n">
        <f aca="false">H33/G33*100</f>
        <v>45.1779065276111</v>
      </c>
      <c r="R33" s="5" t="n">
        <f aca="false">I33</f>
        <v>56</v>
      </c>
      <c r="S33" s="5"/>
    </row>
    <row r="34" customFormat="false" ht="14.1" hidden="false" customHeight="true" outlineLevel="0" collapsed="false">
      <c r="B34" s="0" t="str">
        <f aca="false">'Days per Episode'!B36</f>
        <v>Pitt-1979</v>
      </c>
      <c r="C34" s="12" t="n">
        <f aca="false">'Days per Episode'!G36</f>
        <v>11.2</v>
      </c>
      <c r="D34" s="12" t="n">
        <f aca="false">'Days per Episode'!J36</f>
        <v>10.192</v>
      </c>
      <c r="E34" s="12" t="n">
        <f aca="false">'Days per Episode'!K36</f>
        <v>600</v>
      </c>
      <c r="G34" s="12" t="n">
        <f aca="false">'Days per Episode'!Q36</f>
        <v>11.5</v>
      </c>
      <c r="H34" s="12" t="n">
        <f aca="false">'Days per Episode'!T36</f>
        <v>10.465</v>
      </c>
      <c r="I34" s="12" t="n">
        <f aca="false">'Days per Episode'!U36</f>
        <v>619</v>
      </c>
      <c r="K34" s="0" t="str">
        <f aca="false">'Days per Episode'!W36</f>
        <v>Pitt-1979</v>
      </c>
      <c r="L34" s="98" t="n">
        <f aca="false">C34/$G34*100</f>
        <v>97.3913043478261</v>
      </c>
      <c r="M34" s="96" t="n">
        <f aca="false">D34/$G34*100</f>
        <v>88.6260869565217</v>
      </c>
      <c r="N34" s="5" t="n">
        <f aca="false">E34</f>
        <v>600</v>
      </c>
      <c r="O34" s="5"/>
      <c r="P34" s="98" t="n">
        <f aca="false">G34/$G34*100</f>
        <v>100</v>
      </c>
      <c r="Q34" s="96" t="n">
        <f aca="false">H34/G34*100</f>
        <v>91</v>
      </c>
      <c r="R34" s="5" t="n">
        <f aca="false">I34</f>
        <v>619</v>
      </c>
      <c r="S34" s="5"/>
    </row>
    <row r="35" customFormat="false" ht="14.1" hidden="false" customHeight="true" outlineLevel="0" collapsed="false">
      <c r="B35" s="0" t="str">
        <f aca="false">'Days per Episode'!B37</f>
        <v>Van Straten-2002</v>
      </c>
      <c r="C35" s="12" t="n">
        <f aca="false">'Days per Episode'!G37</f>
        <v>1.8</v>
      </c>
      <c r="D35" s="12" t="n">
        <f aca="false">'Days per Episode'!J37</f>
        <v>2.98</v>
      </c>
      <c r="E35" s="12" t="n">
        <f aca="false">'Days per Episode'!K37</f>
        <v>37</v>
      </c>
      <c r="G35" s="12" t="n">
        <f aca="false">'Days per Episode'!Q37</f>
        <v>3.1</v>
      </c>
      <c r="H35" s="12" t="n">
        <f aca="false">'Days per Episode'!T37</f>
        <v>4.65</v>
      </c>
      <c r="I35" s="12" t="n">
        <f aca="false">'Days per Episode'!U37</f>
        <v>50</v>
      </c>
      <c r="K35" s="0" t="str">
        <f aca="false">'Days per Episode'!W37</f>
        <v>Van Straten-2002</v>
      </c>
      <c r="L35" s="98" t="n">
        <f aca="false">C35/$G35*100</f>
        <v>58.0645161290323</v>
      </c>
      <c r="M35" s="96" t="n">
        <f aca="false">D35/$G35*100</f>
        <v>96.1290322580645</v>
      </c>
      <c r="N35" s="5" t="n">
        <f aca="false">E35</f>
        <v>37</v>
      </c>
      <c r="O35" s="5"/>
      <c r="P35" s="98" t="n">
        <f aca="false">G35/$G35*100</f>
        <v>100</v>
      </c>
      <c r="Q35" s="96" t="n">
        <f aca="false">H35/G35*100</f>
        <v>150</v>
      </c>
      <c r="R35" s="5" t="n">
        <f aca="false">I35</f>
        <v>50</v>
      </c>
      <c r="S35" s="5"/>
    </row>
    <row r="36" customFormat="false" ht="14.1" hidden="false" customHeight="true" outlineLevel="0" collapsed="false">
      <c r="L36" s="98"/>
      <c r="M36" s="96"/>
      <c r="N36" s="5"/>
      <c r="O36" s="5"/>
      <c r="P36" s="98"/>
      <c r="Q36" s="96"/>
      <c r="R36" s="5"/>
      <c r="S36" s="5"/>
    </row>
    <row r="37" customFormat="false" ht="14.1" hidden="false" customHeight="true" outlineLevel="0" collapsed="false">
      <c r="B37" s="0" t="str">
        <f aca="false">'Days per Episode'!B39</f>
        <v>Peters-1993 Runners</v>
      </c>
      <c r="C37" s="12" t="n">
        <f aca="false">'Days per Episode'!G39</f>
        <v>6</v>
      </c>
      <c r="D37" s="12" t="n">
        <f aca="false">'Days per Episode'!J39</f>
        <v>0.99</v>
      </c>
      <c r="E37" s="12" t="n">
        <f aca="false">'Days per Episode'!K39</f>
        <v>14</v>
      </c>
      <c r="G37" s="12" t="n">
        <f aca="false">'Days per Episode'!Q39</f>
        <v>5.8</v>
      </c>
      <c r="H37" s="12" t="n">
        <f aca="false">'Days per Episode'!T39</f>
        <v>2.46</v>
      </c>
      <c r="I37" s="12" t="n">
        <f aca="false">'Days per Episode'!U39</f>
        <v>28</v>
      </c>
      <c r="K37" s="0" t="str">
        <f aca="false">'Days per Episode'!W39</f>
        <v>Peters-1993 Runners</v>
      </c>
      <c r="L37" s="98" t="n">
        <f aca="false">C37/$G37*100</f>
        <v>103.448275862069</v>
      </c>
      <c r="M37" s="96" t="n">
        <f aca="false">D37/$G37*100</f>
        <v>17.0689655172414</v>
      </c>
      <c r="N37" s="5" t="n">
        <f aca="false">E37</f>
        <v>14</v>
      </c>
      <c r="O37" s="5"/>
      <c r="P37" s="98" t="n">
        <f aca="false">G37/$G37*100</f>
        <v>100</v>
      </c>
      <c r="Q37" s="96" t="n">
        <f aca="false">H37/G37*100</f>
        <v>42.4137931034483</v>
      </c>
      <c r="R37" s="5" t="n">
        <f aca="false">I37</f>
        <v>28</v>
      </c>
      <c r="S37" s="5"/>
    </row>
    <row r="38" customFormat="false" ht="14.1" hidden="false" customHeight="true" outlineLevel="0" collapsed="false">
      <c r="B38" s="0" t="str">
        <f aca="false">'Days per Episode'!B40</f>
        <v>Peters 1993a Sedentary</v>
      </c>
      <c r="C38" s="12" t="n">
        <f aca="false">'Days per Episode'!G40</f>
        <v>4.2</v>
      </c>
      <c r="D38" s="12" t="n">
        <f aca="false">'Days per Episode'!J40</f>
        <v>2.14</v>
      </c>
      <c r="E38" s="12" t="n">
        <f aca="false">'Days per Episode'!K40</f>
        <v>18</v>
      </c>
      <c r="G38" s="12" t="n">
        <f aca="false">'Days per Episode'!Q40</f>
        <v>5.6</v>
      </c>
      <c r="H38" s="12" t="n">
        <f aca="false">'Days per Episode'!T40</f>
        <v>3.18</v>
      </c>
      <c r="I38" s="12" t="n">
        <f aca="false">'Days per Episode'!U40</f>
        <v>18</v>
      </c>
      <c r="K38" s="0" t="str">
        <f aca="false">'Days per Episode'!W40</f>
        <v>Peters 1993a Sedentary</v>
      </c>
      <c r="L38" s="98" t="n">
        <f aca="false">C38/$G38*100</f>
        <v>75</v>
      </c>
      <c r="M38" s="96" t="n">
        <f aca="false">D38/$G38*100</f>
        <v>38.2142857142857</v>
      </c>
      <c r="N38" s="5" t="n">
        <f aca="false">E38</f>
        <v>18</v>
      </c>
      <c r="O38" s="5"/>
      <c r="P38" s="98" t="n">
        <f aca="false">G38/$G38*100</f>
        <v>100</v>
      </c>
      <c r="Q38" s="96" t="n">
        <f aca="false">H38/G38*100</f>
        <v>56.7857142857143</v>
      </c>
      <c r="R38" s="5" t="n">
        <f aca="false">I38</f>
        <v>18</v>
      </c>
      <c r="S38" s="5"/>
    </row>
    <row r="39" customFormat="false" ht="14.1" hidden="false" customHeight="true" outlineLevel="0" collapsed="false">
      <c r="B39" s="0" t="str">
        <f aca="false">'Days per Episode'!B41</f>
        <v>Peters 1996 Runners</v>
      </c>
      <c r="C39" s="12" t="n">
        <f aca="false">'Days per Episode'!G41</f>
        <v>5.8</v>
      </c>
      <c r="D39" s="12" t="n">
        <f aca="false">'Days per Episode'!J41</f>
        <v>5.278</v>
      </c>
      <c r="E39" s="12" t="n">
        <f aca="false">'Days per Episode'!K41</f>
        <v>7</v>
      </c>
      <c r="G39" s="12" t="n">
        <f aca="false">'Days per Episode'!Q41</f>
        <v>6.8</v>
      </c>
      <c r="H39" s="12" t="n">
        <f aca="false">'Days per Episode'!T41</f>
        <v>6.188</v>
      </c>
      <c r="I39" s="12" t="n">
        <f aca="false">'Days per Episode'!U41</f>
        <v>19</v>
      </c>
      <c r="K39" s="0" t="str">
        <f aca="false">'Days per Episode'!W41</f>
        <v>Peters 1996 Runners</v>
      </c>
      <c r="L39" s="98" t="n">
        <f aca="false">C39/$G39*100</f>
        <v>85.2941176470588</v>
      </c>
      <c r="M39" s="96" t="n">
        <f aca="false">D39/$G39*100</f>
        <v>77.6176470588235</v>
      </c>
      <c r="N39" s="5" t="n">
        <f aca="false">E39</f>
        <v>7</v>
      </c>
      <c r="O39" s="5"/>
      <c r="P39" s="98" t="n">
        <f aca="false">G39/$G39*100</f>
        <v>100</v>
      </c>
      <c r="Q39" s="96" t="n">
        <f aca="false">H39/G39*100</f>
        <v>91</v>
      </c>
      <c r="R39" s="5" t="n">
        <f aca="false">I39</f>
        <v>19</v>
      </c>
      <c r="S39" s="5"/>
    </row>
    <row r="40" customFormat="false" ht="14.1" hidden="false" customHeight="true" outlineLevel="0" collapsed="false">
      <c r="B40" s="0" t="str">
        <f aca="false">'Days per Episode'!B42</f>
        <v>Peters-1996a Sedentary</v>
      </c>
      <c r="C40" s="12" t="n">
        <f aca="false">'Days per Episode'!G42</f>
        <v>9.4</v>
      </c>
      <c r="D40" s="12" t="n">
        <f aca="false">'Days per Episode'!J42</f>
        <v>8.554</v>
      </c>
      <c r="E40" s="12" t="n">
        <f aca="false">'Days per Episode'!K42</f>
        <v>5</v>
      </c>
      <c r="G40" s="12" t="n">
        <f aca="false">'Days per Episode'!Q42</f>
        <v>6.9</v>
      </c>
      <c r="H40" s="12" t="n">
        <f aca="false">'Days per Episode'!T42</f>
        <v>6.279</v>
      </c>
      <c r="I40" s="12" t="n">
        <f aca="false">'Days per Episode'!U42</f>
        <v>11</v>
      </c>
      <c r="K40" s="0" t="str">
        <f aca="false">'Days per Episode'!W42</f>
        <v>Peters-1996a Sedentary</v>
      </c>
      <c r="L40" s="98" t="n">
        <f aca="false">C40/$G40*100</f>
        <v>136.231884057971</v>
      </c>
      <c r="M40" s="96" t="n">
        <f aca="false">D40/$G40*100</f>
        <v>123.971014492754</v>
      </c>
      <c r="N40" s="5" t="n">
        <f aca="false">E40</f>
        <v>5</v>
      </c>
      <c r="O40" s="5"/>
      <c r="P40" s="98" t="n">
        <f aca="false">G40/$G40*100</f>
        <v>100</v>
      </c>
      <c r="Q40" s="96" t="n">
        <f aca="false">H40/G40*100</f>
        <v>91</v>
      </c>
      <c r="R40" s="5" t="n">
        <f aca="false">I40</f>
        <v>11</v>
      </c>
      <c r="S40" s="5"/>
    </row>
    <row r="41" customFormat="false" ht="14.1" hidden="false" customHeight="true" outlineLevel="0" collapsed="false">
      <c r="B41" s="0" t="str">
        <f aca="false">'Days per Episode'!B43</f>
        <v>Sabiston-1974</v>
      </c>
      <c r="C41" s="12" t="n">
        <f aca="false">'Days per Episode'!G43</f>
        <v>4.3</v>
      </c>
      <c r="D41" s="12" t="n">
        <f aca="false">'Days per Episode'!J43</f>
        <v>3</v>
      </c>
      <c r="E41" s="12" t="n">
        <f aca="false">'Days per Episode'!K43</f>
        <v>6</v>
      </c>
      <c r="G41" s="12" t="n">
        <f aca="false">'Days per Episode'!Q43</f>
        <v>6</v>
      </c>
      <c r="H41" s="12" t="n">
        <f aca="false">'Days per Episode'!T43</f>
        <v>3</v>
      </c>
      <c r="I41" s="12" t="n">
        <f aca="false">'Days per Episode'!U43</f>
        <v>14</v>
      </c>
      <c r="K41" s="0" t="str">
        <f aca="false">'Days per Episode'!W43</f>
        <v>Sabiston-1974</v>
      </c>
      <c r="L41" s="98" t="n">
        <f aca="false">C41/$G41*100</f>
        <v>71.6666666666667</v>
      </c>
      <c r="M41" s="96" t="n">
        <f aca="false">D41/$G41*100</f>
        <v>50</v>
      </c>
      <c r="N41" s="5" t="n">
        <f aca="false">E41</f>
        <v>6</v>
      </c>
      <c r="O41" s="5"/>
      <c r="P41" s="98" t="n">
        <f aca="false">G41/$G41*100</f>
        <v>100</v>
      </c>
      <c r="Q41" s="96" t="n">
        <f aca="false">H41/G41*100</f>
        <v>50</v>
      </c>
      <c r="R41" s="5" t="n">
        <f aca="false">I41</f>
        <v>14</v>
      </c>
      <c r="S41" s="5"/>
    </row>
    <row r="42" customFormat="false" ht="14.1" hidden="false" customHeight="true" outlineLevel="0" collapsed="false">
      <c r="Q42" s="26"/>
    </row>
    <row r="43" customFormat="false" ht="14.1" hidden="false" customHeight="true" outlineLevel="0" collapsed="false">
      <c r="Q43" s="26"/>
    </row>
    <row r="44" customFormat="false" ht="14.1" hidden="false" customHeight="true" outlineLevel="0" collapsed="false">
      <c r="C44" s="6" t="str">
        <f aca="false">'Days per Episode'!G49</f>
        <v>Episode</v>
      </c>
      <c r="D44" s="6"/>
      <c r="E44" s="6"/>
      <c r="F44" s="6"/>
      <c r="G44" s="6" t="str">
        <f aca="false">'Days per Episode'!Q49</f>
        <v>Episode</v>
      </c>
      <c r="H44" s="6"/>
      <c r="I44" s="6"/>
      <c r="L44" s="6" t="str">
        <f aca="false">C44</f>
        <v>Episode</v>
      </c>
      <c r="M44" s="6"/>
      <c r="N44" s="6"/>
      <c r="O44" s="6"/>
      <c r="P44" s="6" t="str">
        <f aca="false">G44</f>
        <v>Episode</v>
      </c>
      <c r="Q44" s="27"/>
      <c r="R44" s="6"/>
    </row>
    <row r="45" customFormat="false" ht="14.1" hidden="false" customHeight="true" outlineLevel="0" collapsed="false">
      <c r="C45" s="6" t="str">
        <f aca="false">'Days per Episode'!G50</f>
        <v>mean</v>
      </c>
      <c r="D45" s="6"/>
      <c r="E45" s="6" t="str">
        <f aca="false">'Days per Episode'!K50</f>
        <v>Episodes</v>
      </c>
      <c r="F45" s="6"/>
      <c r="G45" s="6" t="str">
        <f aca="false">'Days per Episode'!Q50</f>
        <v>mean</v>
      </c>
      <c r="H45" s="6"/>
      <c r="I45" s="6" t="str">
        <f aca="false">'Days per Episode'!U50</f>
        <v>Episodes</v>
      </c>
      <c r="L45" s="6" t="str">
        <f aca="false">C45</f>
        <v>mean</v>
      </c>
      <c r="M45" s="6"/>
      <c r="N45" s="6" t="str">
        <f aca="false">E45</f>
        <v>Episodes</v>
      </c>
      <c r="O45" s="6"/>
      <c r="P45" s="6" t="str">
        <f aca="false">G45</f>
        <v>mean</v>
      </c>
      <c r="Q45" s="27"/>
      <c r="R45" s="6" t="str">
        <f aca="false">I45</f>
        <v>Episodes</v>
      </c>
    </row>
    <row r="46" customFormat="false" ht="14.1" hidden="false" customHeight="true" outlineLevel="0" collapsed="false">
      <c r="C46" s="6" t="str">
        <f aca="false">'Days per Episode'!G51</f>
        <v>days</v>
      </c>
      <c r="D46" s="6" t="str">
        <f aca="false">'Days per Episode'!J51</f>
        <v>SD</v>
      </c>
      <c r="E46" s="6" t="str">
        <f aca="false">'Days per Episode'!K51</f>
        <v>N</v>
      </c>
      <c r="F46" s="6"/>
      <c r="G46" s="6" t="str">
        <f aca="false">'Days per Episode'!Q51</f>
        <v>days</v>
      </c>
      <c r="H46" s="6" t="str">
        <f aca="false">'Days per Episode'!T51</f>
        <v>SD</v>
      </c>
      <c r="I46" s="6" t="str">
        <f aca="false">'Days per Episode'!U51</f>
        <v>N</v>
      </c>
      <c r="L46" s="6" t="str">
        <f aca="false">C46</f>
        <v>days</v>
      </c>
      <c r="M46" s="6" t="str">
        <f aca="false">D46</f>
        <v>SD</v>
      </c>
      <c r="N46" s="6" t="str">
        <f aca="false">E46</f>
        <v>N</v>
      </c>
      <c r="O46" s="6"/>
      <c r="P46" s="6" t="str">
        <f aca="false">G46</f>
        <v>days</v>
      </c>
      <c r="Q46" s="27" t="str">
        <f aca="false">H46</f>
        <v>SD</v>
      </c>
      <c r="R46" s="6" t="str">
        <f aca="false">I46</f>
        <v>N</v>
      </c>
    </row>
    <row r="47" customFormat="false" ht="14.1" hidden="false" customHeight="true" outlineLevel="0" collapsed="false">
      <c r="Q47" s="26"/>
    </row>
    <row r="48" customFormat="false" ht="14.1" hidden="false" customHeight="true" outlineLevel="0" collapsed="false">
      <c r="B48" s="0" t="str">
        <f aca="false">'Days per Episode'!B53</f>
        <v>Bancalari 1984</v>
      </c>
      <c r="C48" s="12" t="n">
        <f aca="false">'Days per Episode'!G53</f>
        <v>3.4</v>
      </c>
      <c r="D48" s="12" t="n">
        <f aca="false">'Days per Episode'!J53</f>
        <v>2.77398630133604</v>
      </c>
      <c r="E48" s="12" t="n">
        <f aca="false">'Days per Episode'!K53</f>
        <v>38</v>
      </c>
      <c r="G48" s="12" t="n">
        <f aca="false">'Days per Episode'!Q53</f>
        <v>4.5</v>
      </c>
      <c r="H48" s="12" t="n">
        <f aca="false">'Days per Episode'!T53</f>
        <v>2.91640189274387</v>
      </c>
      <c r="I48" s="12" t="n">
        <f aca="false">'Days per Episode'!U53</f>
        <v>46</v>
      </c>
      <c r="K48" s="0" t="str">
        <f aca="false">'Days per Episode'!W53</f>
        <v>Bancalari 1984</v>
      </c>
      <c r="L48" s="98" t="n">
        <f aca="false">C48/$G48*100</f>
        <v>75.5555555555556</v>
      </c>
      <c r="M48" s="96" t="n">
        <f aca="false">D48/$G48*100</f>
        <v>61.6441400296898</v>
      </c>
      <c r="N48" s="5" t="n">
        <f aca="false">E48</f>
        <v>38</v>
      </c>
      <c r="O48" s="5"/>
      <c r="P48" s="98" t="n">
        <f aca="false">G48/$G48*100</f>
        <v>100</v>
      </c>
      <c r="Q48" s="96" t="n">
        <f aca="false">H48/G48*100</f>
        <v>64.8089309498637</v>
      </c>
      <c r="R48" s="5" t="n">
        <f aca="false">I48</f>
        <v>46</v>
      </c>
      <c r="S48" s="5"/>
    </row>
    <row r="49" customFormat="false" ht="14.1" hidden="false" customHeight="true" outlineLevel="0" collapsed="false">
      <c r="B49" s="0" t="str">
        <f aca="false">'Days per Episode'!B54</f>
        <v>Constantini 2011 Male</v>
      </c>
      <c r="C49" s="12" t="n">
        <f aca="false">'Days per Episode'!G54</f>
        <v>5.5</v>
      </c>
      <c r="D49" s="12" t="n">
        <f aca="false">'Days per Episode'!J54</f>
        <v>5</v>
      </c>
      <c r="E49" s="12" t="n">
        <f aca="false">'Days per Episode'!K54</f>
        <v>30</v>
      </c>
      <c r="G49" s="12" t="n">
        <f aca="false">'Days per Episode'!Q54</f>
        <v>10.4</v>
      </c>
      <c r="H49" s="12" t="n">
        <f aca="false">'Days per Episode'!T54</f>
        <v>7.1</v>
      </c>
      <c r="I49" s="12" t="n">
        <f aca="false">'Days per Episode'!U54</f>
        <v>21</v>
      </c>
      <c r="K49" s="0" t="str">
        <f aca="false">'Days per Episode'!W54</f>
        <v>Constantini 2011 Male</v>
      </c>
      <c r="L49" s="98" t="n">
        <f aca="false">C49/$G49*100</f>
        <v>52.8846153846154</v>
      </c>
      <c r="M49" s="96" t="n">
        <f aca="false">D49/$G49*100</f>
        <v>48.0769230769231</v>
      </c>
      <c r="N49" s="5" t="n">
        <f aca="false">E49</f>
        <v>30</v>
      </c>
      <c r="O49" s="5"/>
      <c r="P49" s="98" t="n">
        <f aca="false">G49/$G49*100</f>
        <v>100</v>
      </c>
      <c r="Q49" s="96" t="n">
        <f aca="false">H49/G49*100</f>
        <v>68.2692307692308</v>
      </c>
      <c r="R49" s="5" t="n">
        <f aca="false">I49</f>
        <v>21</v>
      </c>
      <c r="S49" s="5"/>
    </row>
    <row r="50" customFormat="false" ht="14.1" hidden="false" customHeight="true" outlineLevel="0" collapsed="false">
      <c r="B50" s="0" t="str">
        <f aca="false">'Days per Episode'!B55</f>
        <v>Constantini 2011a Female</v>
      </c>
      <c r="C50" s="12" t="n">
        <f aca="false">'Days per Episode'!G55</f>
        <v>8.6</v>
      </c>
      <c r="D50" s="12" t="n">
        <f aca="false">'Days per Episode'!J55</f>
        <v>5.5</v>
      </c>
      <c r="E50" s="12" t="n">
        <f aca="false">'Days per Episode'!K55</f>
        <v>25</v>
      </c>
      <c r="G50" s="12" t="n">
        <f aca="false">'Days per Episode'!Q55</f>
        <v>7.4</v>
      </c>
      <c r="H50" s="12" t="n">
        <f aca="false">'Days per Episode'!T55</f>
        <v>8.2</v>
      </c>
      <c r="I50" s="12" t="n">
        <f aca="false">'Days per Episode'!U55</f>
        <v>22</v>
      </c>
      <c r="K50" s="0" t="str">
        <f aca="false">'Days per Episode'!W55</f>
        <v>Constantini 2011a Female</v>
      </c>
      <c r="L50" s="98" t="n">
        <f aca="false">C50/$G50*100</f>
        <v>116.216216216216</v>
      </c>
      <c r="M50" s="96" t="n">
        <f aca="false">D50/$G50*100</f>
        <v>74.3243243243243</v>
      </c>
      <c r="N50" s="5" t="n">
        <f aca="false">E50</f>
        <v>25</v>
      </c>
      <c r="O50" s="5"/>
      <c r="P50" s="98" t="n">
        <f aca="false">G50/$G50*100</f>
        <v>100</v>
      </c>
      <c r="Q50" s="96" t="n">
        <f aca="false">H50/G50*100</f>
        <v>110.810810810811</v>
      </c>
      <c r="R50" s="5" t="n">
        <f aca="false">I50</f>
        <v>22</v>
      </c>
      <c r="S50" s="5"/>
    </row>
    <row r="51" customFormat="false" ht="14.1" hidden="false" customHeight="true" outlineLevel="0" collapsed="false">
      <c r="B51" s="0" t="str">
        <f aca="false">'Days per Episode'!B56</f>
        <v>Coulehan-1974 LOW</v>
      </c>
      <c r="C51" s="12" t="n">
        <f aca="false">'Days per Episode'!G56</f>
        <v>4.95</v>
      </c>
      <c r="D51" s="12" t="n">
        <f aca="false">'Days per Episode'!J56</f>
        <v>4.5045</v>
      </c>
      <c r="E51" s="12" t="n">
        <f aca="false">'Days per Episode'!K56</f>
        <v>19</v>
      </c>
      <c r="G51" s="12" t="n">
        <f aca="false">'Days per Episode'!Q56</f>
        <v>5.65</v>
      </c>
      <c r="H51" s="12" t="n">
        <f aca="false">'Days per Episode'!T56</f>
        <v>5.1415</v>
      </c>
      <c r="I51" s="12" t="n">
        <f aca="false">'Days per Episode'!U56</f>
        <v>23</v>
      </c>
      <c r="K51" s="0" t="str">
        <f aca="false">'Days per Episode'!W56</f>
        <v>Coulehan-1974 LOW</v>
      </c>
      <c r="L51" s="98" t="n">
        <f aca="false">C51/$G51*100</f>
        <v>87.6106194690265</v>
      </c>
      <c r="M51" s="96" t="n">
        <f aca="false">D51/$G51*100</f>
        <v>79.7256637168142</v>
      </c>
      <c r="N51" s="5" t="n">
        <f aca="false">E51</f>
        <v>19</v>
      </c>
      <c r="O51" s="5"/>
      <c r="P51" s="98" t="n">
        <f aca="false">G51/$G51*100</f>
        <v>100</v>
      </c>
      <c r="Q51" s="96" t="n">
        <f aca="false">H51/G51*100</f>
        <v>91</v>
      </c>
      <c r="R51" s="5" t="n">
        <f aca="false">I51</f>
        <v>23</v>
      </c>
      <c r="S51" s="5"/>
    </row>
    <row r="52" customFormat="false" ht="14.1" hidden="false" customHeight="true" outlineLevel="0" collapsed="false">
      <c r="B52" s="0" t="str">
        <f aca="false">'Days per Episode'!B57</f>
        <v>Coulehan-1974a UP</v>
      </c>
      <c r="C52" s="12" t="n">
        <f aca="false">'Days per Episode'!G57</f>
        <v>4.44</v>
      </c>
      <c r="D52" s="12" t="n">
        <f aca="false">'Days per Episode'!J57</f>
        <v>4.0404</v>
      </c>
      <c r="E52" s="12" t="n">
        <f aca="false">'Days per Episode'!K57</f>
        <v>16</v>
      </c>
      <c r="G52" s="12" t="n">
        <f aca="false">'Days per Episode'!Q57</f>
        <v>6.29</v>
      </c>
      <c r="H52" s="12" t="n">
        <f aca="false">'Days per Episode'!T57</f>
        <v>5.7239</v>
      </c>
      <c r="I52" s="12" t="n">
        <f aca="false">'Days per Episode'!U57</f>
        <v>17</v>
      </c>
      <c r="K52" s="0" t="str">
        <f aca="false">'Days per Episode'!W57</f>
        <v>Coulehan-1974a UP</v>
      </c>
      <c r="L52" s="98" t="n">
        <f aca="false">C52/$G52*100</f>
        <v>70.5882352941177</v>
      </c>
      <c r="M52" s="96" t="n">
        <f aca="false">D52/$G52*100</f>
        <v>64.2352941176471</v>
      </c>
      <c r="N52" s="5" t="n">
        <f aca="false">E52</f>
        <v>16</v>
      </c>
      <c r="O52" s="5"/>
      <c r="P52" s="98" t="n">
        <f aca="false">G52/$G52*100</f>
        <v>100</v>
      </c>
      <c r="Q52" s="96" t="n">
        <f aca="false">H52/G52*100</f>
        <v>91</v>
      </c>
      <c r="R52" s="5" t="n">
        <f aca="false">I52</f>
        <v>17</v>
      </c>
      <c r="S52" s="5"/>
    </row>
    <row r="53" customFormat="false" ht="14.1" hidden="false" customHeight="true" outlineLevel="0" collapsed="false">
      <c r="B53" s="0" t="str">
        <f aca="false">'Days per Episode'!B58</f>
        <v>Coulehan-1976</v>
      </c>
      <c r="C53" s="12" t="n">
        <f aca="false">'Days per Episode'!G58</f>
        <v>5.5</v>
      </c>
      <c r="D53" s="12" t="n">
        <f aca="false">'Days per Episode'!J58</f>
        <v>5.005</v>
      </c>
      <c r="E53" s="12" t="n">
        <f aca="false">'Days per Episode'!K58</f>
        <v>98</v>
      </c>
      <c r="G53" s="12" t="n">
        <f aca="false">'Days per Episode'!Q58</f>
        <v>5.8</v>
      </c>
      <c r="H53" s="12" t="n">
        <f aca="false">'Days per Episode'!T58</f>
        <v>5.278</v>
      </c>
      <c r="I53" s="12" t="n">
        <f aca="false">'Days per Episode'!U58</f>
        <v>98</v>
      </c>
      <c r="K53" s="0" t="str">
        <f aca="false">'Days per Episode'!W58</f>
        <v>Coulehan-1976</v>
      </c>
      <c r="L53" s="98" t="n">
        <f aca="false">C53/$G53*100</f>
        <v>94.8275862068966</v>
      </c>
      <c r="M53" s="96" t="n">
        <f aca="false">D53/$G53*100</f>
        <v>86.2931034482759</v>
      </c>
      <c r="N53" s="5" t="n">
        <f aca="false">E53</f>
        <v>98</v>
      </c>
      <c r="O53" s="5"/>
      <c r="P53" s="98" t="n">
        <f aca="false">G53/$G53*100</f>
        <v>100</v>
      </c>
      <c r="Q53" s="96" t="n">
        <f aca="false">H53/G53*100</f>
        <v>91</v>
      </c>
      <c r="R53" s="5" t="n">
        <f aca="false">I53</f>
        <v>98</v>
      </c>
      <c r="S53" s="5"/>
    </row>
    <row r="54" customFormat="false" ht="14.1" hidden="false" customHeight="true" outlineLevel="0" collapsed="false">
      <c r="B54" s="0" t="str">
        <f aca="false">'Days per Episode'!B59</f>
        <v>Ludvigsson-1977 Pilot</v>
      </c>
      <c r="C54" s="12" t="n">
        <f aca="false">'Days per Episode'!G59</f>
        <v>8.9</v>
      </c>
      <c r="D54" s="12" t="n">
        <f aca="false">'Days per Episode'!J59</f>
        <v>5.96</v>
      </c>
      <c r="E54" s="12" t="n">
        <f aca="false">'Days per Episode'!K59</f>
        <v>62.4</v>
      </c>
      <c r="G54" s="12" t="n">
        <f aca="false">'Days per Episode'!Q59</f>
        <v>14.53</v>
      </c>
      <c r="H54" s="12" t="n">
        <f aca="false">'Days per Episode'!T59</f>
        <v>9.75</v>
      </c>
      <c r="I54" s="99" t="n">
        <f aca="false">'Days per Episode'!U59</f>
        <v>55.38</v>
      </c>
      <c r="K54" s="0" t="str">
        <f aca="false">'Days per Episode'!W59</f>
        <v>Ludvigsson-1977 Pilot</v>
      </c>
      <c r="L54" s="98" t="n">
        <f aca="false">C54/$G54*100</f>
        <v>61.2525808671714</v>
      </c>
      <c r="M54" s="96" t="n">
        <f aca="false">D54/$G54*100</f>
        <v>41.0185822436339</v>
      </c>
      <c r="N54" s="5" t="n">
        <f aca="false">E54</f>
        <v>62.4</v>
      </c>
      <c r="O54" s="5"/>
      <c r="P54" s="98" t="n">
        <f aca="false">G54/$G54*100</f>
        <v>100</v>
      </c>
      <c r="Q54" s="96" t="n">
        <f aca="false">H54/G54*100</f>
        <v>67.1025464556091</v>
      </c>
      <c r="R54" s="96" t="n">
        <f aca="false">I54</f>
        <v>55.38</v>
      </c>
      <c r="S54" s="5"/>
    </row>
    <row r="55" customFormat="false" ht="14.1" hidden="false" customHeight="true" outlineLevel="0" collapsed="false">
      <c r="B55" s="0" t="str">
        <f aca="false">'Days per Episode'!B60</f>
        <v>Ludvigsson-1977a Large</v>
      </c>
      <c r="C55" s="12" t="n">
        <f aca="false">'Days per Episode'!G60</f>
        <v>9.54</v>
      </c>
      <c r="D55" s="12" t="n">
        <f aca="false">'Days per Episode'!J60</f>
        <v>8.65</v>
      </c>
      <c r="E55" s="12" t="n">
        <f aca="false">'Days per Episode'!K60</f>
        <v>422.56</v>
      </c>
      <c r="G55" s="12" t="n">
        <f aca="false">'Days per Episode'!Q60</f>
        <v>10.14</v>
      </c>
      <c r="H55" s="12" t="n">
        <f aca="false">'Days per Episode'!T60</f>
        <v>11.6</v>
      </c>
      <c r="I55" s="99" t="n">
        <f aca="false">'Days per Episode'!U60</f>
        <v>398.08</v>
      </c>
      <c r="K55" s="0" t="str">
        <f aca="false">'Days per Episode'!W60</f>
        <v>Ludvigsson-1977a Large</v>
      </c>
      <c r="L55" s="98" t="n">
        <f aca="false">C55/$G55*100</f>
        <v>94.0828402366864</v>
      </c>
      <c r="M55" s="96" t="n">
        <f aca="false">D55/$G55*100</f>
        <v>85.3057199211045</v>
      </c>
      <c r="N55" s="98" t="n">
        <f aca="false">E55</f>
        <v>422.56</v>
      </c>
      <c r="O55" s="5"/>
      <c r="P55" s="98" t="n">
        <f aca="false">G55/$G55*100</f>
        <v>100</v>
      </c>
      <c r="Q55" s="96" t="n">
        <f aca="false">H55/G55*100</f>
        <v>114.39842209073</v>
      </c>
      <c r="R55" s="96" t="n">
        <f aca="false">I55</f>
        <v>398.08</v>
      </c>
      <c r="S55" s="5"/>
    </row>
    <row r="56" customFormat="false" ht="14.1" hidden="false" customHeight="true" outlineLevel="0" collapsed="false">
      <c r="L56" s="98"/>
      <c r="M56" s="96"/>
      <c r="N56" s="5"/>
      <c r="O56" s="5"/>
      <c r="P56" s="98"/>
      <c r="Q56" s="96"/>
      <c r="R56" s="5"/>
      <c r="S56" s="5"/>
    </row>
    <row r="57" customFormat="false" ht="14.1" hidden="false" customHeight="true" outlineLevel="0" collapsed="false">
      <c r="B57" s="0" t="str">
        <f aca="false">'Days per Episode'!B62</f>
        <v>Miller-1977_1000mg</v>
      </c>
      <c r="C57" s="12" t="n">
        <f aca="false">'Days per Episode'!G62</f>
        <v>7.7</v>
      </c>
      <c r="D57" s="12" t="n">
        <f aca="false">'Days per Episode'!J62</f>
        <v>9.20326583507484</v>
      </c>
      <c r="E57" s="12" t="n">
        <f aca="false">'Days per Episode'!K62</f>
        <v>52.8</v>
      </c>
      <c r="G57" s="12" t="n">
        <f aca="false">'Days per Episode'!Q62</f>
        <v>8.3</v>
      </c>
      <c r="H57" s="12" t="n">
        <f aca="false">'Days per Episode'!T62</f>
        <v>9.20326583507484</v>
      </c>
      <c r="I57" s="99" t="n">
        <f aca="false">'Days per Episode'!U62</f>
        <v>41.8</v>
      </c>
      <c r="K57" s="0" t="str">
        <f aca="false">'Days per Episode'!W62</f>
        <v>Miller-1977_1000mg</v>
      </c>
      <c r="L57" s="98" t="n">
        <f aca="false">C57/$G57*100</f>
        <v>92.7710843373494</v>
      </c>
      <c r="M57" s="96" t="n">
        <f aca="false">D57/$G57*100</f>
        <v>110.882720904516</v>
      </c>
      <c r="N57" s="5" t="n">
        <f aca="false">E57</f>
        <v>52.8</v>
      </c>
      <c r="O57" s="5"/>
      <c r="P57" s="98" t="n">
        <f aca="false">G57/$G57*100</f>
        <v>100</v>
      </c>
      <c r="Q57" s="96" t="n">
        <f aca="false">H57/G57*100</f>
        <v>110.882720904516</v>
      </c>
      <c r="R57" s="96" t="n">
        <f aca="false">I57</f>
        <v>41.8</v>
      </c>
      <c r="S57" s="5"/>
      <c r="U57" s="26"/>
    </row>
    <row r="58" customFormat="false" ht="14.1" hidden="false" customHeight="true" outlineLevel="0" collapsed="false">
      <c r="B58" s="0" t="str">
        <f aca="false">'Days per Episode'!B63</f>
        <v>Miller-1977a_750mg</v>
      </c>
      <c r="C58" s="12" t="n">
        <f aca="false">'Days per Episode'!G63</f>
        <v>8.7</v>
      </c>
      <c r="D58" s="12" t="n">
        <f aca="false">'Days per Episode'!J63</f>
        <v>4.59782999582633</v>
      </c>
      <c r="E58" s="12" t="n">
        <f aca="false">'Days per Episode'!K63</f>
        <v>41.8</v>
      </c>
      <c r="G58" s="12" t="n">
        <f aca="false">'Days per Episode'!Q63</f>
        <v>9</v>
      </c>
      <c r="H58" s="12" t="n">
        <f aca="false">'Days per Episode'!T63</f>
        <v>4.59782999582633</v>
      </c>
      <c r="I58" s="99" t="n">
        <f aca="false">'Days per Episode'!U63</f>
        <v>39.6</v>
      </c>
      <c r="K58" s="0" t="str">
        <f aca="false">'Days per Episode'!W63</f>
        <v>Miller-1977a_750mg</v>
      </c>
      <c r="L58" s="98" t="n">
        <f aca="false">C58/$G58*100</f>
        <v>96.6666666666667</v>
      </c>
      <c r="M58" s="96" t="n">
        <f aca="false">D58/$G58*100</f>
        <v>51.0869999536259</v>
      </c>
      <c r="N58" s="5" t="n">
        <f aca="false">E58</f>
        <v>41.8</v>
      </c>
      <c r="O58" s="5"/>
      <c r="P58" s="98" t="n">
        <f aca="false">G58/$G58*100</f>
        <v>100</v>
      </c>
      <c r="Q58" s="96" t="n">
        <f aca="false">H58/G58*100</f>
        <v>51.0869999536259</v>
      </c>
      <c r="R58" s="96" t="n">
        <f aca="false">I58</f>
        <v>39.6</v>
      </c>
      <c r="S58" s="5"/>
    </row>
    <row r="59" customFormat="false" ht="14.1" hidden="false" customHeight="true" outlineLevel="0" collapsed="false">
      <c r="B59" s="0" t="str">
        <f aca="false">'Days per Episode'!B64</f>
        <v>Miller-1977b_500mg</v>
      </c>
      <c r="C59" s="12" t="n">
        <f aca="false">'Days per Episode'!G64</f>
        <v>5.5</v>
      </c>
      <c r="D59" s="12" t="n">
        <f aca="false">'Days per Episode'!J64</f>
        <v>4.58323985210247</v>
      </c>
      <c r="E59" s="12" t="n">
        <f aca="false">'Days per Episode'!K64</f>
        <v>116</v>
      </c>
      <c r="G59" s="12" t="n">
        <f aca="false">'Days per Episode'!Q64</f>
        <v>6.3</v>
      </c>
      <c r="H59" s="12" t="n">
        <f aca="false">'Days per Episode'!T64</f>
        <v>4.58323985210247</v>
      </c>
      <c r="I59" s="12" t="n">
        <f aca="false">'Days per Episode'!U64</f>
        <v>122</v>
      </c>
      <c r="K59" s="0" t="str">
        <f aca="false">'Days per Episode'!W64</f>
        <v>Miller-1977b_500mg</v>
      </c>
      <c r="L59" s="98" t="n">
        <f aca="false">C59/$G59*100</f>
        <v>87.3015873015873</v>
      </c>
      <c r="M59" s="96" t="n">
        <f aca="false">D59/$G59*100</f>
        <v>72.7498389222614</v>
      </c>
      <c r="N59" s="5" t="n">
        <f aca="false">E59</f>
        <v>116</v>
      </c>
      <c r="O59" s="5"/>
      <c r="P59" s="98" t="n">
        <f aca="false">G59/$G59*100</f>
        <v>100</v>
      </c>
      <c r="Q59" s="96" t="n">
        <f aca="false">H59/G59*100</f>
        <v>72.7498389222614</v>
      </c>
      <c r="R59" s="5" t="n">
        <f aca="false">I59</f>
        <v>122</v>
      </c>
      <c r="S59" s="5"/>
    </row>
    <row r="60" customFormat="false" ht="14.1" hidden="false" customHeight="true" outlineLevel="0" collapsed="false">
      <c r="L60" s="98"/>
      <c r="M60" s="96"/>
      <c r="N60" s="5"/>
      <c r="O60" s="5"/>
      <c r="P60" s="98"/>
      <c r="Q60" s="96"/>
      <c r="R60" s="5"/>
      <c r="S60" s="5"/>
    </row>
    <row r="61" customFormat="false" ht="14.1" hidden="false" customHeight="true" outlineLevel="0" collapsed="false">
      <c r="B61" s="0" t="str">
        <f aca="false">'Days per Episode'!B66</f>
        <v>Ritzel-1961</v>
      </c>
      <c r="C61" s="12" t="n">
        <f aca="false">'Days per Episode'!G66</f>
        <v>1.8</v>
      </c>
      <c r="D61" s="12" t="n">
        <f aca="false">'Days per Episode'!J66</f>
        <v>1.28627544669819</v>
      </c>
      <c r="E61" s="12" t="n">
        <f aca="false">'Days per Episode'!K66</f>
        <v>17.2222222222222</v>
      </c>
      <c r="G61" s="12" t="n">
        <f aca="false">'Days per Episode'!Q66</f>
        <v>2.6</v>
      </c>
      <c r="H61" s="12" t="n">
        <f aca="false">'Days per Episode'!T66</f>
        <v>1.28627544669819</v>
      </c>
      <c r="I61" s="99" t="n">
        <f aca="false">'Days per Episode'!U66</f>
        <v>30.7692307692308</v>
      </c>
      <c r="K61" s="0" t="str">
        <f aca="false">'Days per Episode'!W66</f>
        <v>Ritzel-1961</v>
      </c>
      <c r="L61" s="98" t="n">
        <f aca="false">C61/$G61*100</f>
        <v>69.2307692307692</v>
      </c>
      <c r="M61" s="96" t="n">
        <f aca="false">D61/$G61*100</f>
        <v>49.4721325653152</v>
      </c>
      <c r="N61" s="5" t="n">
        <f aca="false">E61</f>
        <v>17.2222222222222</v>
      </c>
      <c r="O61" s="5"/>
      <c r="P61" s="98" t="n">
        <f aca="false">G61/$G61*100</f>
        <v>100</v>
      </c>
      <c r="Q61" s="96" t="n">
        <f aca="false">H61/G61*100</f>
        <v>49.4721325653152</v>
      </c>
      <c r="R61" s="96" t="n">
        <f aca="false">I61</f>
        <v>30.7692307692308</v>
      </c>
      <c r="S61" s="5"/>
    </row>
    <row r="62" customFormat="false" ht="14.1" hidden="false" customHeight="true" outlineLevel="0" collapsed="false">
      <c r="B62" s="0" t="str">
        <f aca="false">'Days per Episode'!B67</f>
        <v>Wilson_1973 Girls</v>
      </c>
      <c r="C62" s="12" t="n">
        <f aca="false">'Days per Episode'!G67</f>
        <v>2.62</v>
      </c>
      <c r="D62" s="12" t="n">
        <f aca="false">'Days per Episode'!J67</f>
        <v>3.67167945223981</v>
      </c>
      <c r="E62" s="12" t="n">
        <f aca="false">'Days per Episode'!K67</f>
        <v>160.3</v>
      </c>
      <c r="G62" s="12" t="n">
        <f aca="false">'Days per Episode'!Q67</f>
        <v>3.1</v>
      </c>
      <c r="H62" s="12" t="n">
        <f aca="false">'Days per Episode'!T67</f>
        <v>4.15093170264219</v>
      </c>
      <c r="I62" s="99" t="n">
        <f aca="false">'Days per Episode'!U67</f>
        <v>125.86</v>
      </c>
      <c r="K62" s="0" t="str">
        <f aca="false">'Days per Episode'!W67</f>
        <v>Wilson_1973 Girls</v>
      </c>
      <c r="L62" s="98" t="n">
        <f aca="false">C62/$G62*100</f>
        <v>84.5161290322581</v>
      </c>
      <c r="M62" s="96" t="n">
        <f aca="false">D62/$G62*100</f>
        <v>118.441272652897</v>
      </c>
      <c r="N62" s="5" t="n">
        <f aca="false">E62</f>
        <v>160.3</v>
      </c>
      <c r="O62" s="5"/>
      <c r="P62" s="98" t="n">
        <f aca="false">G62/$G62*100</f>
        <v>100</v>
      </c>
      <c r="Q62" s="96" t="n">
        <f aca="false">H62/G62*100</f>
        <v>133.901022665877</v>
      </c>
      <c r="R62" s="96" t="n">
        <f aca="false">I62</f>
        <v>125.86</v>
      </c>
      <c r="S62" s="5"/>
    </row>
    <row r="63" customFormat="false" ht="14.1" hidden="false" customHeight="true" outlineLevel="0" collapsed="false">
      <c r="B63" s="0" t="str">
        <f aca="false">'Days per Episode'!B68</f>
        <v>Wilson_1973a Boys</v>
      </c>
      <c r="C63" s="12" t="n">
        <f aca="false">'Days per Episode'!G68</f>
        <v>2.68</v>
      </c>
      <c r="D63" s="12" t="n">
        <f aca="false">'Days per Episode'!J68</f>
        <v>5.01172624950725</v>
      </c>
      <c r="E63" s="12" t="n">
        <f aca="false">'Days per Episode'!K68</f>
        <v>205.04</v>
      </c>
      <c r="G63" s="12" t="n">
        <f aca="false">'Days per Episode'!Q68</f>
        <v>2.48</v>
      </c>
      <c r="H63" s="12" t="n">
        <f aca="false">'Days per Episode'!T68</f>
        <v>3.28616006913845</v>
      </c>
      <c r="I63" s="99" t="n">
        <f aca="false">'Days per Episode'!U68</f>
        <v>187.48</v>
      </c>
      <c r="K63" s="0" t="str">
        <f aca="false">'Days per Episode'!W68</f>
        <v>Wilson_1973a Boys</v>
      </c>
      <c r="L63" s="98" t="n">
        <f aca="false">C63/$G63*100</f>
        <v>108.064516129032</v>
      </c>
      <c r="M63" s="96" t="n">
        <f aca="false">D63/$G63*100</f>
        <v>202.085735867228</v>
      </c>
      <c r="N63" s="98" t="n">
        <f aca="false">E63</f>
        <v>205.04</v>
      </c>
      <c r="O63" s="5"/>
      <c r="P63" s="98" t="n">
        <f aca="false">G63/$G63*100</f>
        <v>100</v>
      </c>
      <c r="Q63" s="96" t="n">
        <f aca="false">H63/G63*100</f>
        <v>132.506454400744</v>
      </c>
      <c r="R63" s="96" t="n">
        <f aca="false">I63</f>
        <v>187.48</v>
      </c>
      <c r="S63" s="5"/>
    </row>
    <row r="64" customFormat="false" ht="14.1" hidden="false" customHeight="true" outlineLevel="0" collapsed="false"/>
    <row r="65" customFormat="false" ht="14.1" hidden="false" customHeight="true" outlineLevel="0" collapsed="false"/>
    <row r="66" customFormat="false" ht="14.1" hidden="false" customHeight="true" outlineLevel="0" collapsed="false">
      <c r="B66" s="5" t="str">
        <f aca="false">'Days per Episode'!B72</f>
        <v>Treatment: cold duration</v>
      </c>
      <c r="K66" s="5" t="str">
        <f aca="false">'Days per Episode'!W72</f>
        <v>Treatment: cold duration</v>
      </c>
    </row>
    <row r="67" customFormat="false" ht="14.1" hidden="false" customHeight="true" outlineLevel="0" collapsed="false"/>
    <row r="68" customFormat="false" ht="14.1" hidden="false" customHeight="true" outlineLevel="0" collapsed="false">
      <c r="C68" s="6" t="str">
        <f aca="false">'Days per Episode'!G75</f>
        <v>Episode</v>
      </c>
      <c r="D68" s="6"/>
      <c r="E68" s="6"/>
      <c r="F68" s="6"/>
      <c r="G68" s="6" t="str">
        <f aca="false">'Days per Episode'!Q75</f>
        <v>Episode</v>
      </c>
      <c r="H68" s="6"/>
      <c r="I68" s="6"/>
      <c r="L68" s="6" t="str">
        <f aca="false">C68</f>
        <v>Episode</v>
      </c>
      <c r="M68" s="6"/>
      <c r="N68" s="6"/>
      <c r="O68" s="6"/>
      <c r="P68" s="6" t="str">
        <f aca="false">G68</f>
        <v>Episode</v>
      </c>
      <c r="Q68" s="6"/>
      <c r="R68" s="6"/>
    </row>
    <row r="69" customFormat="false" ht="14.1" hidden="false" customHeight="true" outlineLevel="0" collapsed="false">
      <c r="C69" s="6" t="str">
        <f aca="false">'Days per Episode'!G76</f>
        <v>mean</v>
      </c>
      <c r="D69" s="6"/>
      <c r="E69" s="6" t="str">
        <f aca="false">'Days per Episode'!K76</f>
        <v>Episodes</v>
      </c>
      <c r="F69" s="6"/>
      <c r="G69" s="6" t="str">
        <f aca="false">'Days per Episode'!Q76</f>
        <v>mean</v>
      </c>
      <c r="H69" s="6"/>
      <c r="I69" s="6" t="str">
        <f aca="false">'Days per Episode'!U76</f>
        <v>Episodes</v>
      </c>
      <c r="J69" s="1" t="s">
        <v>501</v>
      </c>
      <c r="L69" s="6" t="str">
        <f aca="false">C69</f>
        <v>mean</v>
      </c>
      <c r="M69" s="6"/>
      <c r="N69" s="6" t="str">
        <f aca="false">E69</f>
        <v>Episodes</v>
      </c>
      <c r="O69" s="6"/>
      <c r="P69" s="6" t="str">
        <f aca="false">G69</f>
        <v>mean</v>
      </c>
      <c r="Q69" s="6"/>
      <c r="R69" s="6" t="str">
        <f aca="false">I69</f>
        <v>Episodes</v>
      </c>
      <c r="S69" s="7" t="s">
        <v>501</v>
      </c>
    </row>
    <row r="70" customFormat="false" ht="14.1" hidden="false" customHeight="true" outlineLevel="0" collapsed="false">
      <c r="C70" s="6" t="str">
        <f aca="false">'Days per Episode'!G77</f>
        <v>days</v>
      </c>
      <c r="D70" s="6" t="str">
        <f aca="false">'Days per Episode'!J77</f>
        <v>SD</v>
      </c>
      <c r="E70" s="6" t="str">
        <f aca="false">'Days per Episode'!K77</f>
        <v>N</v>
      </c>
      <c r="F70" s="6"/>
      <c r="G70" s="6" t="str">
        <f aca="false">'Days per Episode'!Q77</f>
        <v>days</v>
      </c>
      <c r="H70" s="6" t="str">
        <f aca="false">'Days per Episode'!T77</f>
        <v>SD</v>
      </c>
      <c r="I70" s="6" t="str">
        <f aca="false">'Days per Episode'!U77</f>
        <v>N</v>
      </c>
      <c r="J70" s="1"/>
      <c r="L70" s="6" t="str">
        <f aca="false">C70</f>
        <v>days</v>
      </c>
      <c r="M70" s="6" t="str">
        <f aca="false">D70</f>
        <v>SD</v>
      </c>
      <c r="N70" s="6" t="str">
        <f aca="false">E70</f>
        <v>N</v>
      </c>
      <c r="O70" s="6"/>
      <c r="P70" s="6" t="str">
        <f aca="false">G70</f>
        <v>days</v>
      </c>
      <c r="Q70" s="6" t="str">
        <f aca="false">H70</f>
        <v>SD</v>
      </c>
      <c r="R70" s="6" t="str">
        <f aca="false">I70</f>
        <v>N</v>
      </c>
      <c r="S70" s="1"/>
    </row>
    <row r="71" customFormat="false" ht="14.1" hidden="false" customHeight="true" outlineLevel="0" collapsed="false">
      <c r="J71" s="1"/>
      <c r="S71" s="1"/>
    </row>
    <row r="72" customFormat="false" ht="14.1" hidden="false" customHeight="true" outlineLevel="0" collapsed="false">
      <c r="B72" s="0" t="str">
        <f aca="false">'Days per Episode'!B79</f>
        <v>Anderson-1974d #7 (4g)</v>
      </c>
      <c r="C72" s="12" t="n">
        <f aca="false">'Days per Episode'!G79</f>
        <v>3.17745803357314</v>
      </c>
      <c r="D72" s="12" t="n">
        <f aca="false">'Days per Episode'!J79</f>
        <v>2.89148681055156</v>
      </c>
      <c r="E72" s="12" t="n">
        <f aca="false">'Days per Episode'!K79</f>
        <v>417</v>
      </c>
      <c r="G72" s="12" t="n">
        <f aca="false">'Days per Episode'!Q79</f>
        <v>3.52173913043478</v>
      </c>
      <c r="H72" s="12" t="n">
        <f aca="false">'Days per Episode'!T79</f>
        <v>3.20478260869565</v>
      </c>
      <c r="I72" s="12" t="n">
        <f aca="false">'Days per Episode'!U79</f>
        <v>437</v>
      </c>
      <c r="J72" s="1" t="n">
        <f aca="false">'Days per Episode'!V79</f>
        <v>202</v>
      </c>
      <c r="K72" s="0" t="str">
        <f aca="false">'Days per Episode'!W79</f>
        <v>Anderson-1974d #7 (4g)</v>
      </c>
      <c r="L72" s="98" t="n">
        <f aca="false">C72/$G72*100</f>
        <v>90.2241170026941</v>
      </c>
      <c r="M72" s="96" t="n">
        <f aca="false">D72/$G72*100</f>
        <v>82.1039464724517</v>
      </c>
      <c r="N72" s="5" t="n">
        <f aca="false">E72</f>
        <v>417</v>
      </c>
      <c r="O72" s="5"/>
      <c r="P72" s="98" t="n">
        <f aca="false">G72/$G72*100</f>
        <v>100</v>
      </c>
      <c r="Q72" s="96" t="n">
        <f aca="false">H72/G72*100</f>
        <v>91</v>
      </c>
      <c r="R72" s="5" t="n">
        <f aca="false">I72</f>
        <v>437</v>
      </c>
      <c r="S72" s="7" t="n">
        <f aca="false">J72</f>
        <v>202</v>
      </c>
    </row>
    <row r="73" customFormat="false" ht="14.1" hidden="false" customHeight="true" outlineLevel="0" collapsed="false">
      <c r="B73" s="0" t="str">
        <f aca="false">'Days per Episode'!B80</f>
        <v>Anderson-1974e #8 (8g)</v>
      </c>
      <c r="C73" s="12" t="n">
        <f aca="false">'Days per Episode'!G80</f>
        <v>2.85714285714286</v>
      </c>
      <c r="D73" s="12" t="n">
        <f aca="false">'Days per Episode'!J80</f>
        <v>2.6</v>
      </c>
      <c r="E73" s="12" t="n">
        <f aca="false">'Days per Episode'!K80</f>
        <v>483</v>
      </c>
      <c r="G73" s="12" t="n">
        <f aca="false">'Days per Episode'!Q80</f>
        <v>0</v>
      </c>
      <c r="H73" s="12" t="n">
        <f aca="false">'Days per Episode'!T80</f>
        <v>0</v>
      </c>
      <c r="I73" s="12" t="n">
        <f aca="false">'Days per Episode'!U80</f>
        <v>0</v>
      </c>
      <c r="J73" s="1" t="n">
        <f aca="false">'Days per Episode'!V80</f>
        <v>235</v>
      </c>
      <c r="K73" s="0" t="str">
        <f aca="false">'Days per Episode'!W80</f>
        <v>Anderson-1974e #8 (8g)</v>
      </c>
      <c r="L73" s="98" t="n">
        <f aca="false">C73/$G$72*100</f>
        <v>81.1287477954145</v>
      </c>
      <c r="M73" s="96" t="n">
        <f aca="false">D73/$G$72*100</f>
        <v>73.8271604938272</v>
      </c>
      <c r="N73" s="5" t="n">
        <f aca="false">E73</f>
        <v>483</v>
      </c>
      <c r="O73" s="5"/>
      <c r="P73" s="98"/>
      <c r="Q73" s="96"/>
      <c r="R73" s="5"/>
      <c r="S73" s="7" t="n">
        <f aca="false">J73</f>
        <v>235</v>
      </c>
    </row>
    <row r="74" customFormat="false" ht="14.1" hidden="false" customHeight="true" outlineLevel="0" collapsed="false">
      <c r="J74" s="1"/>
      <c r="L74" s="98"/>
      <c r="M74" s="96"/>
      <c r="N74" s="5"/>
      <c r="O74" s="5"/>
      <c r="P74" s="98"/>
      <c r="Q74" s="96"/>
      <c r="R74" s="5"/>
      <c r="S74" s="7"/>
    </row>
    <row r="75" customFormat="false" ht="14.1" hidden="false" customHeight="true" outlineLevel="0" collapsed="false">
      <c r="B75" s="0" t="str">
        <f aca="false">'Days per Episode'!B82</f>
        <v>Anderson 1975 tablet</v>
      </c>
      <c r="C75" s="12" t="n">
        <f aca="false">'Days per Episode'!G82</f>
        <v>3.55422535211268</v>
      </c>
      <c r="D75" s="12" t="n">
        <f aca="false">'Days per Episode'!J82</f>
        <v>3.23434507042254</v>
      </c>
      <c r="E75" s="12" t="n">
        <f aca="false">'Days per Episode'!K82</f>
        <v>213</v>
      </c>
      <c r="G75" s="12" t="n">
        <f aca="false">'Days per Episode'!Q82</f>
        <v>3.69019876627827</v>
      </c>
      <c r="H75" s="12" t="n">
        <f aca="false">'Days per Episode'!T82</f>
        <v>3.35808087731323</v>
      </c>
      <c r="I75" s="12" t="n">
        <f aca="false">'Days per Episode'!U82</f>
        <v>213.014</v>
      </c>
      <c r="J75" s="1" t="n">
        <f aca="false">'Days per Episode'!V82</f>
        <v>107</v>
      </c>
      <c r="K75" s="0" t="str">
        <f aca="false">'Days per Episode'!W82</f>
        <v>Anderson 1975 tablet</v>
      </c>
      <c r="L75" s="98" t="n">
        <f aca="false">C75/$G75*100</f>
        <v>96.3152821086997</v>
      </c>
      <c r="M75" s="96" t="n">
        <f aca="false">D75/$G75*100</f>
        <v>87.6469067189168</v>
      </c>
      <c r="N75" s="5" t="n">
        <f aca="false">E75</f>
        <v>213</v>
      </c>
      <c r="O75" s="5"/>
      <c r="P75" s="98" t="n">
        <f aca="false">G75/$G75*100</f>
        <v>100</v>
      </c>
      <c r="Q75" s="96" t="n">
        <f aca="false">H75/G75*100</f>
        <v>91</v>
      </c>
      <c r="R75" s="5" t="n">
        <f aca="false">I75</f>
        <v>213.014</v>
      </c>
      <c r="S75" s="7" t="n">
        <f aca="false">J75</f>
        <v>107</v>
      </c>
    </row>
    <row r="76" customFormat="false" ht="14.1" hidden="false" customHeight="true" outlineLevel="0" collapsed="false">
      <c r="B76" s="0" t="str">
        <f aca="false">'Days per Episode'!B83</f>
        <v>Anderson 1975b capsule</v>
      </c>
      <c r="C76" s="12" t="n">
        <f aca="false">'Days per Episode'!G83</f>
        <v>3.61745454545455</v>
      </c>
      <c r="D76" s="12" t="n">
        <f aca="false">'Days per Episode'!J83</f>
        <v>3.29188363636364</v>
      </c>
      <c r="E76" s="12" t="n">
        <f aca="false">'Days per Episode'!K83</f>
        <v>209</v>
      </c>
      <c r="G76" s="12" t="n">
        <f aca="false">'Days per Episode'!Q83</f>
        <v>0</v>
      </c>
      <c r="H76" s="12" t="n">
        <f aca="false">'Days per Episode'!T83</f>
        <v>0</v>
      </c>
      <c r="I76" s="12" t="n">
        <f aca="false">'Days per Episode'!U83</f>
        <v>0</v>
      </c>
      <c r="J76" s="1" t="n">
        <f aca="false">'Days per Episode'!V83</f>
        <v>106</v>
      </c>
      <c r="K76" s="0" t="str">
        <f aca="false">'Days per Episode'!W83</f>
        <v>Anderson 1975b capsule</v>
      </c>
      <c r="L76" s="98" t="n">
        <f aca="false">C76/$G$75*100</f>
        <v>98.0287180872619</v>
      </c>
      <c r="M76" s="96" t="n">
        <f aca="false">D76/$G$75*100</f>
        <v>89.2061334594083</v>
      </c>
      <c r="N76" s="5" t="n">
        <f aca="false">E76</f>
        <v>209</v>
      </c>
      <c r="O76" s="5"/>
      <c r="P76" s="98"/>
      <c r="Q76" s="96"/>
      <c r="R76" s="5"/>
      <c r="S76" s="7" t="n">
        <f aca="false">J76</f>
        <v>106</v>
      </c>
    </row>
    <row r="77" customFormat="false" ht="14.1" hidden="false" customHeight="true" outlineLevel="0" collapsed="false">
      <c r="J77" s="1"/>
      <c r="L77" s="98"/>
      <c r="M77" s="96"/>
      <c r="N77" s="5"/>
      <c r="O77" s="5"/>
      <c r="P77" s="98"/>
      <c r="Q77" s="96"/>
      <c r="R77" s="5"/>
      <c r="S77" s="7"/>
    </row>
    <row r="78" customFormat="false" ht="14.1" hidden="false" customHeight="true" outlineLevel="0" collapsed="false">
      <c r="B78" s="0" t="str">
        <f aca="false">'Days per Episode'!B85</f>
        <v>Audera 2001 (1 g/day)</v>
      </c>
      <c r="C78" s="12" t="n">
        <f aca="false">'Days per Episode'!G85</f>
        <v>10.1</v>
      </c>
      <c r="D78" s="12" t="n">
        <f aca="false">'Days per Episode'!J85</f>
        <v>6.99556591877658</v>
      </c>
      <c r="E78" s="12" t="n">
        <f aca="false">'Days per Episode'!K85</f>
        <v>47</v>
      </c>
      <c r="G78" s="12" t="n">
        <f aca="false">'Days per Episode'!Q85</f>
        <v>8.5</v>
      </c>
      <c r="H78" s="12" t="n">
        <f aca="false">'Days per Episode'!T85</f>
        <v>6.67422216936282</v>
      </c>
      <c r="I78" s="12" t="n">
        <f aca="false">'Days per Episode'!U85</f>
        <v>42</v>
      </c>
      <c r="J78" s="1" t="n">
        <f aca="false">'Days per Episode'!V85</f>
        <v>20.3505154639175</v>
      </c>
      <c r="K78" s="0" t="str">
        <f aca="false">'Days per Episode'!W85</f>
        <v>Audera 2001 (1 g/day)</v>
      </c>
      <c r="L78" s="98" t="n">
        <f aca="false">C78/$G$78*100</f>
        <v>118.823529411765</v>
      </c>
      <c r="M78" s="96" t="n">
        <f aca="false">D78/$G$78*100</f>
        <v>82.3007755150185</v>
      </c>
      <c r="N78" s="5" t="n">
        <f aca="false">E78</f>
        <v>47</v>
      </c>
      <c r="O78" s="5"/>
      <c r="P78" s="98" t="n">
        <f aca="false">G78/$G78*100</f>
        <v>100</v>
      </c>
      <c r="Q78" s="96" t="n">
        <f aca="false">H78/G78*100</f>
        <v>78.5202608160332</v>
      </c>
      <c r="R78" s="5" t="n">
        <f aca="false">I78</f>
        <v>42</v>
      </c>
      <c r="S78" s="7" t="n">
        <f aca="false">J78</f>
        <v>20.3505154639175</v>
      </c>
    </row>
    <row r="79" customFormat="false" ht="14.1" hidden="false" customHeight="true" outlineLevel="0" collapsed="false">
      <c r="B79" s="0" t="str">
        <f aca="false">'Days per Episode'!B86</f>
        <v>Audera 2001a (3 g/day)</v>
      </c>
      <c r="C79" s="12" t="n">
        <f aca="false">'Days per Episode'!G86</f>
        <v>10.4</v>
      </c>
      <c r="D79" s="12" t="n">
        <f aca="false">'Days per Episode'!J86</f>
        <v>6.67422216936282</v>
      </c>
      <c r="E79" s="12" t="n">
        <f aca="false">'Days per Episode'!K86</f>
        <v>50</v>
      </c>
      <c r="J79" s="1" t="n">
        <f aca="false">'Days per Episode'!V86</f>
        <v>21.6494845360825</v>
      </c>
      <c r="K79" s="0" t="str">
        <f aca="false">'Days per Episode'!W86</f>
        <v>Audera 2001a (3 g/day)</v>
      </c>
      <c r="L79" s="98" t="n">
        <f aca="false">C79/$G$78*100</f>
        <v>122.352941176471</v>
      </c>
      <c r="M79" s="96" t="n">
        <f aca="false">D79/$G$78*100</f>
        <v>78.5202608160332</v>
      </c>
      <c r="N79" s="5" t="n">
        <f aca="false">E79</f>
        <v>50</v>
      </c>
      <c r="O79" s="5"/>
      <c r="P79" s="98"/>
      <c r="Q79" s="96"/>
      <c r="R79" s="5"/>
      <c r="S79" s="7" t="n">
        <f aca="false">J79</f>
        <v>21.6494845360825</v>
      </c>
    </row>
    <row r="80" customFormat="false" ht="14.1" hidden="false" customHeight="true" outlineLevel="0" collapsed="false">
      <c r="L80" s="98"/>
      <c r="M80" s="96"/>
      <c r="N80" s="5"/>
      <c r="O80" s="5"/>
      <c r="P80" s="98"/>
      <c r="Q80" s="96"/>
      <c r="R80" s="5"/>
      <c r="S80" s="5"/>
    </row>
    <row r="81" customFormat="false" ht="14.1" hidden="false" customHeight="true" outlineLevel="0" collapsed="false">
      <c r="B81" s="0" t="str">
        <f aca="false">'Days per Episode'!B88</f>
        <v>Cowan 1950</v>
      </c>
      <c r="C81" s="12" t="n">
        <f aca="false">'Days per Episode'!G88</f>
        <v>5.6</v>
      </c>
      <c r="D81" s="12" t="n">
        <f aca="false">'Days per Episode'!J88</f>
        <v>5.096</v>
      </c>
      <c r="E81" s="12" t="n">
        <f aca="false">'Days per Episode'!K88</f>
        <v>213</v>
      </c>
      <c r="G81" s="12" t="n">
        <f aca="false">'Days per Episode'!Q88</f>
        <v>5.1</v>
      </c>
      <c r="H81" s="12" t="n">
        <f aca="false">'Days per Episode'!T88</f>
        <v>4.641</v>
      </c>
      <c r="I81" s="12" t="n">
        <f aca="false">'Days per Episode'!U88</f>
        <v>207</v>
      </c>
      <c r="K81" s="0" t="str">
        <f aca="false">'Days per Episode'!W88</f>
        <v>Cowan 1950</v>
      </c>
      <c r="L81" s="98" t="n">
        <f aca="false">C81/$G81*100</f>
        <v>109.803921568627</v>
      </c>
      <c r="M81" s="96" t="n">
        <f aca="false">D81/$G81*100</f>
        <v>99.921568627451</v>
      </c>
      <c r="N81" s="5" t="n">
        <f aca="false">E81</f>
        <v>213</v>
      </c>
      <c r="O81" s="5"/>
      <c r="P81" s="98" t="n">
        <f aca="false">G81/$G81*100</f>
        <v>100</v>
      </c>
      <c r="Q81" s="96" t="n">
        <f aca="false">H81/G81*100</f>
        <v>91</v>
      </c>
      <c r="R81" s="5" t="n">
        <f aca="false">I81</f>
        <v>207</v>
      </c>
      <c r="S81" s="5"/>
    </row>
    <row r="82" customFormat="false" ht="14.1" hidden="false" customHeight="true" outlineLevel="0" collapsed="false">
      <c r="B82" s="0" t="str">
        <f aca="false">'Days per Episode'!B89</f>
        <v>Cowan 1950a (Phenindamin)</v>
      </c>
      <c r="C82" s="12" t="n">
        <f aca="false">'Days per Episode'!G89</f>
        <v>5.6</v>
      </c>
      <c r="D82" s="12" t="n">
        <f aca="false">'Days per Episode'!J89</f>
        <v>5.096</v>
      </c>
      <c r="E82" s="12" t="n">
        <f aca="false">'Days per Episode'!K89</f>
        <v>172</v>
      </c>
      <c r="G82" s="12" t="n">
        <f aca="false">'Days per Episode'!Q89</f>
        <v>5.7</v>
      </c>
      <c r="H82" s="12" t="n">
        <f aca="false">'Days per Episode'!T89</f>
        <v>5.187</v>
      </c>
      <c r="I82" s="12" t="n">
        <f aca="false">'Days per Episode'!U89</f>
        <v>198</v>
      </c>
      <c r="K82" s="0" t="str">
        <f aca="false">'Days per Episode'!W89</f>
        <v>Cowan 1950a (Phenindamin)</v>
      </c>
      <c r="L82" s="98" t="n">
        <f aca="false">C82/$G82*100</f>
        <v>98.2456140350877</v>
      </c>
      <c r="M82" s="96" t="n">
        <f aca="false">D82/$G82*100</f>
        <v>89.4035087719298</v>
      </c>
      <c r="N82" s="5" t="n">
        <f aca="false">E82</f>
        <v>172</v>
      </c>
      <c r="O82" s="5"/>
      <c r="P82" s="98" t="n">
        <f aca="false">G82/$G82*100</f>
        <v>100</v>
      </c>
      <c r="Q82" s="96" t="n">
        <f aca="false">H82/G82*100</f>
        <v>91</v>
      </c>
      <c r="R82" s="5" t="n">
        <f aca="false">I82</f>
        <v>198</v>
      </c>
      <c r="S82" s="5"/>
    </row>
    <row r="83" customFormat="false" ht="14.1" hidden="false" customHeight="true" outlineLevel="0" collapsed="false">
      <c r="L83" s="98"/>
      <c r="M83" s="96"/>
      <c r="N83" s="5"/>
      <c r="O83" s="5"/>
      <c r="P83" s="98"/>
      <c r="Q83" s="96"/>
      <c r="R83" s="5"/>
      <c r="S83" s="5"/>
    </row>
    <row r="84" customFormat="false" ht="14.1" hidden="false" customHeight="true" outlineLevel="0" collapsed="false">
      <c r="B84" s="0" t="str">
        <f aca="false">'Days per Episode'!B91</f>
        <v>Elwood 1977</v>
      </c>
      <c r="C84" s="12" t="n">
        <f aca="false">'Days per Episode'!G91</f>
        <v>5.88965517241379</v>
      </c>
      <c r="D84" s="12" t="n">
        <f aca="false">'Days per Episode'!J91</f>
        <v>2.76916865126649</v>
      </c>
      <c r="E84" s="12" t="n">
        <f aca="false">'Days per Episode'!K91</f>
        <v>145</v>
      </c>
      <c r="G84" s="12" t="n">
        <f aca="false">'Days per Episode'!Q91</f>
        <v>6.28571428571429</v>
      </c>
      <c r="H84" s="12" t="n">
        <f aca="false">'Days per Episode'!T91</f>
        <v>2.78355600255688</v>
      </c>
      <c r="I84" s="12" t="n">
        <f aca="false">'Days per Episode'!U91</f>
        <v>119</v>
      </c>
      <c r="K84" s="0" t="str">
        <f aca="false">'Days per Episode'!W91</f>
        <v>Elwood 1977</v>
      </c>
      <c r="L84" s="98" t="n">
        <f aca="false">C84/$G84*100</f>
        <v>93.6990595611285</v>
      </c>
      <c r="M84" s="96" t="n">
        <f aca="false">D84/$G84*100</f>
        <v>44.0549558156033</v>
      </c>
      <c r="N84" s="5" t="n">
        <f aca="false">E84</f>
        <v>145</v>
      </c>
      <c r="O84" s="5"/>
      <c r="P84" s="98" t="n">
        <f aca="false">G84/$G84*100</f>
        <v>100</v>
      </c>
      <c r="Q84" s="96" t="n">
        <f aca="false">H84/G84*100</f>
        <v>44.2838454952231</v>
      </c>
      <c r="R84" s="5" t="n">
        <f aca="false">I84</f>
        <v>119</v>
      </c>
      <c r="S84" s="5"/>
    </row>
    <row r="85" customFormat="false" ht="14.1" hidden="false" customHeight="true" outlineLevel="0" collapsed="false">
      <c r="L85" s="98"/>
      <c r="M85" s="96"/>
      <c r="N85" s="5"/>
      <c r="O85" s="5"/>
      <c r="P85" s="98"/>
      <c r="Q85" s="96"/>
      <c r="R85" s="5"/>
      <c r="S85" s="5"/>
    </row>
    <row r="86" customFormat="false" ht="14.1" hidden="false" customHeight="true" outlineLevel="0" collapsed="false">
      <c r="B86" s="0" t="str">
        <f aca="false">'Days per Episode'!B93</f>
        <v>Karlowski 1975 #1</v>
      </c>
      <c r="C86" s="12" t="n">
        <f aca="false">'Days per Episode'!G93</f>
        <v>6.46</v>
      </c>
      <c r="D86" s="12" t="n">
        <f aca="false">'Days per Episode'!J93</f>
        <v>2.91849276168367</v>
      </c>
      <c r="E86" s="12" t="n">
        <f aca="false">'Days per Episode'!K93</f>
        <v>56</v>
      </c>
      <c r="G86" s="12" t="n">
        <f aca="false">'Days per Episode'!Q93</f>
        <v>7.14</v>
      </c>
      <c r="H86" s="12" t="n">
        <f aca="false">'Days per Episode'!T93</f>
        <v>3.70863856421733</v>
      </c>
      <c r="I86" s="12" t="n">
        <f aca="false">'Days per Episode'!U93</f>
        <v>65</v>
      </c>
      <c r="K86" s="0" t="str">
        <f aca="false">'Days per Episode'!W93</f>
        <v>Karlowski 1975 #1</v>
      </c>
      <c r="L86" s="98" t="n">
        <f aca="false">C86/$G86*100</f>
        <v>90.4761904761905</v>
      </c>
      <c r="M86" s="96" t="n">
        <f aca="false">D86/$G86*100</f>
        <v>40.8752487630767</v>
      </c>
      <c r="N86" s="5" t="n">
        <f aca="false">E86</f>
        <v>56</v>
      </c>
      <c r="O86" s="5"/>
      <c r="P86" s="98" t="n">
        <f aca="false">G86/$G86*100</f>
        <v>100</v>
      </c>
      <c r="Q86" s="96" t="n">
        <f aca="false">H86/G86*100</f>
        <v>51.9417165856769</v>
      </c>
      <c r="R86" s="5" t="n">
        <f aca="false">I86</f>
        <v>65</v>
      </c>
    </row>
    <row r="87" customFormat="false" ht="14.1" hidden="false" customHeight="true" outlineLevel="0" collapsed="false">
      <c r="B87" s="0" t="str">
        <f aca="false">'Days per Episode'!B94</f>
        <v>Karlowski 1975c (#3 vs #2)</v>
      </c>
      <c r="C87" s="12" t="n">
        <f aca="false">'Days per Episode'!G94</f>
        <v>5.92</v>
      </c>
      <c r="D87" s="12" t="n">
        <f aca="false">'Days per Episode'!J94</f>
        <v>3.48711915483254</v>
      </c>
      <c r="E87" s="12" t="n">
        <f aca="false">'Days per Episode'!K94</f>
        <v>76</v>
      </c>
      <c r="G87" s="12" t="n">
        <f aca="false">'Days per Episode'!Q94</f>
        <v>6.71</v>
      </c>
      <c r="H87" s="12" t="n">
        <f aca="false">'Days per Episode'!T94</f>
        <v>3.82188435199183</v>
      </c>
      <c r="I87" s="12" t="n">
        <f aca="false">'Days per Episode'!U94</f>
        <v>52</v>
      </c>
      <c r="K87" s="0" t="str">
        <f aca="false">'Days per Episode'!W94</f>
        <v>Karlowski 1975c (#3 vs #2)</v>
      </c>
      <c r="L87" s="98" t="n">
        <f aca="false">C87/$G87*100</f>
        <v>88.2265275707899</v>
      </c>
      <c r="M87" s="96" t="n">
        <f aca="false">D87/$G87*100</f>
        <v>51.9689888946727</v>
      </c>
      <c r="N87" s="5" t="n">
        <f aca="false">E87</f>
        <v>76</v>
      </c>
      <c r="O87" s="5"/>
      <c r="P87" s="98" t="n">
        <f aca="false">G87/$G87*100</f>
        <v>100</v>
      </c>
      <c r="Q87" s="96" t="n">
        <f aca="false">H87/G87*100</f>
        <v>56.9580380326651</v>
      </c>
      <c r="R87" s="5" t="n">
        <f aca="false">I87</f>
        <v>52</v>
      </c>
    </row>
    <row r="88" customFormat="false" ht="14.1" hidden="false" customHeight="true" outlineLevel="0" collapsed="false">
      <c r="L88" s="98"/>
      <c r="M88" s="96"/>
      <c r="N88" s="5"/>
      <c r="O88" s="5"/>
      <c r="P88" s="98"/>
      <c r="Q88" s="96"/>
      <c r="R88" s="5"/>
    </row>
    <row r="89" customFormat="false" ht="14.1" hidden="false" customHeight="true" outlineLevel="0" collapsed="false">
      <c r="B89" s="0" t="str">
        <f aca="false">'Days per Episode'!B96</f>
        <v>Tyrrell 1977 (Males)</v>
      </c>
      <c r="C89" s="12" t="n">
        <f aca="false">'Days per Episode'!G96</f>
        <v>7.41</v>
      </c>
      <c r="D89" s="12" t="n">
        <f aca="false">'Days per Episode'!J96</f>
        <v>3.59</v>
      </c>
      <c r="E89" s="12" t="n">
        <f aca="false">'Days per Episode'!K96</f>
        <v>147</v>
      </c>
      <c r="G89" s="12" t="n">
        <f aca="false">'Days per Episode'!Q96</f>
        <v>7.57</v>
      </c>
      <c r="H89" s="12" t="n">
        <f aca="false">'Days per Episode'!T96</f>
        <v>3.79</v>
      </c>
      <c r="I89" s="12" t="n">
        <f aca="false">'Days per Episode'!U96</f>
        <v>184</v>
      </c>
      <c r="K89" s="0" t="str">
        <f aca="false">'Days per Episode'!W96</f>
        <v>Tyrrell 1977 (Males)</v>
      </c>
      <c r="L89" s="98" t="n">
        <f aca="false">C89/$G89*100</f>
        <v>97.886393659181</v>
      </c>
      <c r="M89" s="96" t="n">
        <f aca="false">D89/$G89*100</f>
        <v>47.4240422721268</v>
      </c>
      <c r="N89" s="5" t="n">
        <f aca="false">E89</f>
        <v>147</v>
      </c>
      <c r="O89" s="5"/>
      <c r="P89" s="98" t="n">
        <f aca="false">G89/$G89*100</f>
        <v>100</v>
      </c>
      <c r="Q89" s="96" t="n">
        <f aca="false">H89/G89*100</f>
        <v>50.0660501981506</v>
      </c>
      <c r="R89" s="5" t="n">
        <f aca="false">I89</f>
        <v>184</v>
      </c>
    </row>
    <row r="90" customFormat="false" ht="14.1" hidden="false" customHeight="true" outlineLevel="0" collapsed="false">
      <c r="B90" s="0" t="str">
        <f aca="false">'Days per Episode'!B97</f>
        <v>Tyrrell 1977a (Females)</v>
      </c>
      <c r="C90" s="12" t="n">
        <f aca="false">'Days per Episode'!G97</f>
        <v>8.96</v>
      </c>
      <c r="D90" s="12" t="n">
        <f aca="false">'Days per Episode'!J97</f>
        <v>5.3</v>
      </c>
      <c r="E90" s="12" t="n">
        <f aca="false">'Days per Episode'!K97</f>
        <v>127</v>
      </c>
      <c r="G90" s="12" t="n">
        <f aca="false">'Days per Episode'!Q97</f>
        <v>8.24</v>
      </c>
      <c r="H90" s="12" t="n">
        <f aca="false">'Days per Episode'!T97</f>
        <v>4.78</v>
      </c>
      <c r="I90" s="12" t="n">
        <f aca="false">'Days per Episode'!U97</f>
        <v>145</v>
      </c>
      <c r="K90" s="0" t="str">
        <f aca="false">'Days per Episode'!W97</f>
        <v>Tyrrell 1977a (Females)</v>
      </c>
      <c r="L90" s="98" t="n">
        <f aca="false">C90/$G90*100</f>
        <v>108.73786407767</v>
      </c>
      <c r="M90" s="96" t="n">
        <f aca="false">D90/$G90*100</f>
        <v>64.3203883495146</v>
      </c>
      <c r="N90" s="5" t="n">
        <f aca="false">E90</f>
        <v>127</v>
      </c>
      <c r="O90" s="5"/>
      <c r="P90" s="98" t="n">
        <f aca="false">G90/$G90*100</f>
        <v>100</v>
      </c>
      <c r="Q90" s="96" t="n">
        <f aca="false">H90/G90*100</f>
        <v>58.0097087378641</v>
      </c>
      <c r="R90" s="5" t="n">
        <f aca="false">I90</f>
        <v>145</v>
      </c>
    </row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>
      <c r="B93" s="5" t="s">
        <v>502</v>
      </c>
    </row>
    <row r="94" s="5" customFormat="true" ht="14.1" hidden="false" customHeight="true" outlineLevel="0" collapsed="false">
      <c r="C94" s="6"/>
      <c r="D94" s="6" t="s">
        <v>503</v>
      </c>
      <c r="E94" s="6" t="s">
        <v>504</v>
      </c>
      <c r="F94" s="6" t="s">
        <v>291</v>
      </c>
      <c r="G94" s="6" t="s">
        <v>292</v>
      </c>
      <c r="H94" s="6" t="s">
        <v>505</v>
      </c>
      <c r="I94" s="6" t="s">
        <v>506</v>
      </c>
      <c r="J94" s="10" t="s">
        <v>507</v>
      </c>
    </row>
    <row r="95" customFormat="false" ht="14.1" hidden="false" customHeight="true" outlineLevel="0" collapsed="false">
      <c r="B95" s="44" t="n">
        <v>7.14</v>
      </c>
      <c r="C95" s="100" t="n">
        <f aca="false">B95/B$95</f>
        <v>1</v>
      </c>
      <c r="D95" s="28" t="s">
        <v>180</v>
      </c>
      <c r="E95" s="12" t="n">
        <v>65</v>
      </c>
      <c r="F95" s="101" t="n">
        <v>0.46</v>
      </c>
      <c r="G95" s="12" t="n">
        <f aca="false">SQRT(E95)*F95</f>
        <v>3.70863856421733</v>
      </c>
      <c r="H95" s="100" t="n">
        <f aca="false">G95/B$95</f>
        <v>0.519417165856769</v>
      </c>
      <c r="I95" s="12" t="n">
        <f aca="false">F95*F95</f>
        <v>0.2116</v>
      </c>
      <c r="J95" s="71" t="n">
        <f aca="false">1/I95</f>
        <v>4.72589792060492</v>
      </c>
    </row>
    <row r="96" customFormat="false" ht="14.1" hidden="false" customHeight="true" outlineLevel="0" collapsed="false">
      <c r="B96" s="44" t="n">
        <v>6.46</v>
      </c>
      <c r="C96" s="100" t="n">
        <f aca="false">B96/B$95</f>
        <v>0.904761904761905</v>
      </c>
      <c r="D96" s="102" t="n">
        <f aca="false">(B96/B$95 -1)*100</f>
        <v>-9.52380952380952</v>
      </c>
      <c r="E96" s="12" t="n">
        <v>56</v>
      </c>
      <c r="F96" s="101" t="n">
        <v>0.39</v>
      </c>
      <c r="G96" s="12" t="n">
        <f aca="false">SQRT(E96)*F96</f>
        <v>2.91849276168367</v>
      </c>
      <c r="H96" s="100" t="n">
        <f aca="false">G96/B$95</f>
        <v>0.408752487630767</v>
      </c>
      <c r="I96" s="12" t="n">
        <f aca="false">F96*F96</f>
        <v>0.1521</v>
      </c>
      <c r="J96" s="71" t="n">
        <f aca="false">1/I96</f>
        <v>6.57462195923734</v>
      </c>
    </row>
    <row r="97" customFormat="false" ht="14.1" hidden="false" customHeight="true" outlineLevel="0" collapsed="false">
      <c r="B97" s="44" t="n">
        <v>6.71</v>
      </c>
      <c r="C97" s="100" t="n">
        <f aca="false">B97/B$95</f>
        <v>0.939775910364146</v>
      </c>
      <c r="D97" s="102" t="n">
        <f aca="false">(B97/B$95 -1)*100</f>
        <v>-6.02240896358544</v>
      </c>
      <c r="E97" s="12" t="n">
        <v>52</v>
      </c>
      <c r="F97" s="101" t="n">
        <v>0.53</v>
      </c>
      <c r="G97" s="12" t="n">
        <f aca="false">SQRT(E97)*F97</f>
        <v>3.82188435199183</v>
      </c>
      <c r="H97" s="100" t="n">
        <f aca="false">G97/B$95</f>
        <v>0.535277920447035</v>
      </c>
      <c r="I97" s="12" t="n">
        <f aca="false">F97*F97</f>
        <v>0.2809</v>
      </c>
      <c r="J97" s="71" t="n">
        <f aca="false">1/I97</f>
        <v>3.55998576005696</v>
      </c>
    </row>
    <row r="98" customFormat="false" ht="14.1" hidden="false" customHeight="true" outlineLevel="0" collapsed="false">
      <c r="B98" s="44" t="n">
        <v>5.92</v>
      </c>
      <c r="C98" s="100" t="n">
        <f aca="false">B98/B$95</f>
        <v>0.829131652661065</v>
      </c>
      <c r="D98" s="102" t="n">
        <f aca="false">(B98/B$95 -1)*100</f>
        <v>-17.0868347338936</v>
      </c>
      <c r="E98" s="12" t="n">
        <v>76</v>
      </c>
      <c r="F98" s="101" t="n">
        <v>0.4</v>
      </c>
      <c r="G98" s="12" t="n">
        <f aca="false">SQRT(E98)*F98</f>
        <v>3.48711915483254</v>
      </c>
      <c r="H98" s="100" t="n">
        <f aca="false">G98/B$95</f>
        <v>0.488392038491952</v>
      </c>
      <c r="I98" s="12" t="n">
        <f aca="false">F98*F98</f>
        <v>0.16</v>
      </c>
      <c r="J98" s="71" t="n">
        <f aca="false">1/I98</f>
        <v>6.25</v>
      </c>
    </row>
    <row r="99" customFormat="false" ht="14.1" hidden="false" customHeight="true" outlineLevel="0" collapsed="false">
      <c r="B99" s="44"/>
      <c r="C99" s="100"/>
      <c r="D99" s="102"/>
      <c r="F99" s="101"/>
      <c r="H99" s="100"/>
      <c r="J99" s="71"/>
    </row>
    <row r="100" customFormat="false" ht="14.1" hidden="false" customHeight="true" outlineLevel="0" collapsed="false">
      <c r="B100" s="44"/>
      <c r="C100" s="100"/>
      <c r="D100" s="102"/>
      <c r="F100" s="101"/>
      <c r="H100" s="100"/>
      <c r="J100" s="71"/>
    </row>
    <row r="101" customFormat="false" ht="14.1" hidden="false" customHeight="true" outlineLevel="0" collapsed="false">
      <c r="B101" s="5" t="s">
        <v>508</v>
      </c>
    </row>
    <row r="102" customFormat="false" ht="14.1" hidden="false" customHeight="true" outlineLevel="0" collapsed="false"/>
    <row r="103" customFormat="false" ht="14.1" hidden="false" customHeight="true" outlineLevel="0" collapsed="false">
      <c r="B103" s="7" t="n">
        <f aca="false">G72</f>
        <v>3.52173913043478</v>
      </c>
      <c r="C103" s="100" t="n">
        <f aca="false">B103/B$103</f>
        <v>1</v>
      </c>
      <c r="E103" s="12" t="n">
        <v>437</v>
      </c>
      <c r="F103" s="12" t="n">
        <f aca="false">G103/SQRT(E103)</f>
        <v>0.153305542635423</v>
      </c>
      <c r="G103" s="103" t="n">
        <f aca="false">H72</f>
        <v>3.20478260869565</v>
      </c>
      <c r="H103" s="100" t="n">
        <f aca="false">G103/B$103</f>
        <v>0.91</v>
      </c>
      <c r="I103" s="104" t="n">
        <f aca="false">F103*F103</f>
        <v>0.0235025894027417</v>
      </c>
      <c r="J103" s="71" t="n">
        <f aca="false">1/I103</f>
        <v>42.5485031825194</v>
      </c>
    </row>
    <row r="104" customFormat="false" ht="14.1" hidden="false" customHeight="true" outlineLevel="0" collapsed="false">
      <c r="B104" s="7" t="n">
        <f aca="false">C72</f>
        <v>3.17745803357314</v>
      </c>
      <c r="C104" s="100" t="n">
        <f aca="false">B104/B$103</f>
        <v>0.902241170026941</v>
      </c>
      <c r="D104" s="102" t="n">
        <f aca="false">(B104/B$103 -1)*100</f>
        <v>-9.77588299730586</v>
      </c>
      <c r="E104" s="12" t="n">
        <v>417</v>
      </c>
      <c r="F104" s="12" t="n">
        <f aca="false">G104/SQRT(E104)</f>
        <v>0.141596718312661</v>
      </c>
      <c r="G104" s="103" t="n">
        <f aca="false">D72</f>
        <v>2.89148681055156</v>
      </c>
      <c r="H104" s="100" t="n">
        <f aca="false">G104/B$103</f>
        <v>0.821039464724517</v>
      </c>
      <c r="I104" s="104" t="n">
        <f aca="false">F104*F104</f>
        <v>0.0200496306369152</v>
      </c>
      <c r="J104" s="71" t="n">
        <f aca="false">1/I104</f>
        <v>49.8762305455548</v>
      </c>
    </row>
    <row r="105" customFormat="false" ht="14.1" hidden="false" customHeight="true" outlineLevel="0" collapsed="false">
      <c r="B105" s="7" t="n">
        <f aca="false">C73</f>
        <v>2.85714285714286</v>
      </c>
      <c r="C105" s="100" t="n">
        <f aca="false">B105/B$103</f>
        <v>0.811287477954144</v>
      </c>
      <c r="D105" s="102" t="n">
        <f aca="false">(B105/B$103 -1)*100</f>
        <v>-18.8712522045855</v>
      </c>
      <c r="E105" s="12" t="n">
        <v>483</v>
      </c>
      <c r="F105" s="12" t="n">
        <f aca="false">G105/SQRT(E105)</f>
        <v>0.118304096350255</v>
      </c>
      <c r="G105" s="103" t="n">
        <f aca="false">D73</f>
        <v>2.6</v>
      </c>
      <c r="H105" s="100" t="n">
        <f aca="false">G105/B$103</f>
        <v>0.738271604938272</v>
      </c>
      <c r="I105" s="104" t="n">
        <f aca="false">F105*F105</f>
        <v>0.0139958592132505</v>
      </c>
      <c r="J105" s="71" t="n">
        <f aca="false">1/I105</f>
        <v>71.4497041420118</v>
      </c>
    </row>
    <row r="106" customFormat="false" ht="14.1" hidden="false" customHeight="true" outlineLevel="0" collapsed="false">
      <c r="D106" s="102"/>
    </row>
    <row r="107" customFormat="false" ht="14.1" hidden="false" customHeight="true" outlineLevel="0" collapsed="false"/>
    <row r="108" customFormat="false" ht="14.1" hidden="false" customHeight="true" outlineLevel="0" collapsed="false"/>
    <row r="109" customFormat="false" ht="14.1" hidden="false" customHeight="true" outlineLevel="0" collapsed="false"/>
    <row r="110" customFormat="false" ht="14.1" hidden="false" customHeight="true" outlineLevel="0" collapsed="false"/>
    <row r="111" customFormat="false" ht="14.1" hidden="false" customHeight="true" outlineLevel="0" collapsed="false"/>
    <row r="112" customFormat="false" ht="14.1" hidden="false" customHeight="true" outlineLevel="0" collapsed="false"/>
    <row r="113" customFormat="false" ht="14.1" hidden="false" customHeight="true" outlineLevel="0" collapsed="false">
      <c r="C113" s="12" t="s">
        <v>509</v>
      </c>
    </row>
    <row r="114" customFormat="false" ht="14.1" hidden="false" customHeight="true" outlineLevel="0" collapsed="false"/>
    <row r="115" customFormat="false" ht="14.1" hidden="false" customHeight="true" outlineLevel="0" collapsed="false">
      <c r="C115" s="104" t="n">
        <v>-0.3852</v>
      </c>
      <c r="D115" s="12" t="n">
        <f aca="false">C115*C115</f>
        <v>0.14837904</v>
      </c>
    </row>
    <row r="116" customFormat="false" ht="14.1" hidden="false" customHeight="true" outlineLevel="0" collapsed="false">
      <c r="C116" s="104" t="n">
        <v>-1.3658</v>
      </c>
      <c r="D116" s="12" t="n">
        <f aca="false">C116*C116</f>
        <v>1.86540964</v>
      </c>
    </row>
    <row r="117" customFormat="false" ht="14.1" hidden="false" customHeight="true" outlineLevel="0" collapsed="false">
      <c r="C117" s="104" t="n">
        <v>2.1362</v>
      </c>
      <c r="E117" s="12" t="n">
        <f aca="false">C117*C117</f>
        <v>4.56335044</v>
      </c>
      <c r="G117" s="12" t="n">
        <f aca="false">C117-C116</f>
        <v>3.502</v>
      </c>
    </row>
    <row r="118" customFormat="false" ht="14.1" hidden="false" customHeight="true" outlineLevel="0" collapsed="false">
      <c r="C118" s="104" t="n">
        <v>-0.3852</v>
      </c>
      <c r="D118" s="12" t="n">
        <f aca="false">C118*C118</f>
        <v>0.14837904</v>
      </c>
      <c r="G118" s="103" t="n">
        <f aca="false">G117+D96</f>
        <v>-6.02180952380952</v>
      </c>
    </row>
    <row r="119" customFormat="false" ht="14.1" hidden="false" customHeight="true" outlineLevel="0" collapsed="false">
      <c r="D119" s="12" t="n">
        <f aca="false">SUM(D115:D118)</f>
        <v>2.16216772</v>
      </c>
      <c r="E119" s="12" t="n">
        <f aca="false">SUM(E115:E118)</f>
        <v>4.56335044</v>
      </c>
    </row>
    <row r="120" customFormat="false" ht="14.1" hidden="false" customHeight="true" outlineLevel="0" collapsed="false"/>
    <row r="121" customFormat="false" ht="14.1" hidden="false" customHeight="true" outlineLevel="0" collapsed="false">
      <c r="C121" s="103" t="n">
        <f aca="false">C115+C116+C118</f>
        <v>-2.1362</v>
      </c>
    </row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64"/>
  <sheetViews>
    <sheetView windowProtection="false" showFormulas="false" showGridLines="true" showRowColHeaders="true" showZeros="true" rightToLeft="false" tabSelected="false" showOutlineSymbols="true" defaultGridColor="true" view="normal" topLeftCell="C4" colorId="64" zoomScale="120" zoomScaleNormal="120" zoomScalePageLayoutView="100" workbookViewId="0">
      <selection pane="topLeft" activeCell="B30" activeCellId="0" sqref="B30"/>
    </sheetView>
  </sheetViews>
  <sheetFormatPr defaultRowHeight="12.8"/>
  <cols>
    <col collapsed="false" hidden="false" max="1" min="1" style="0" width="11.5204081632653"/>
    <col collapsed="false" hidden="false" max="2" min="2" style="0" width="26.6377551020408"/>
    <col collapsed="false" hidden="false" max="1025" min="3" style="0" width="11.5204081632653"/>
  </cols>
  <sheetData>
    <row r="1" customFormat="false" ht="14.1" hidden="false" customHeight="true" outlineLevel="0" collapsed="false"/>
    <row r="2" s="23" customFormat="true" ht="19.3" hidden="false" customHeight="true" outlineLevel="0" collapsed="false">
      <c r="C2" s="23" t="s">
        <v>510</v>
      </c>
      <c r="J2" s="23" t="s">
        <v>511</v>
      </c>
      <c r="AMH2" s="0"/>
      <c r="AMI2" s="0"/>
      <c r="AMJ2" s="0"/>
    </row>
    <row r="3" customFormat="false" ht="14.1" hidden="false" customHeight="true" outlineLevel="0" collapsed="false"/>
    <row r="4" customFormat="false" ht="14.1" hidden="false" customHeight="true" outlineLevel="0" collapsed="false"/>
    <row r="5" customFormat="false" ht="14.1" hidden="false" customHeight="true" outlineLevel="0" collapsed="false"/>
    <row r="6" customFormat="false" ht="14.1" hidden="false" customHeight="true" outlineLevel="0" collapsed="false">
      <c r="C6" s="7" t="s">
        <v>192</v>
      </c>
      <c r="D6" s="7"/>
      <c r="E6" s="7"/>
      <c r="F6" s="7" t="s">
        <v>193</v>
      </c>
      <c r="G6" s="7"/>
      <c r="H6" s="7"/>
      <c r="J6" s="7" t="s">
        <v>192</v>
      </c>
      <c r="K6" s="7"/>
      <c r="L6" s="7"/>
      <c r="M6" s="7" t="s">
        <v>193</v>
      </c>
      <c r="N6" s="7"/>
      <c r="O6" s="7"/>
      <c r="Q6" s="5"/>
    </row>
    <row r="7" customFormat="false" ht="14.1" hidden="false" customHeight="true" outlineLevel="0" collapsed="false">
      <c r="C7" s="6"/>
      <c r="D7" s="6"/>
      <c r="E7" s="6"/>
      <c r="F7" s="6"/>
      <c r="G7" s="6"/>
      <c r="H7" s="6"/>
      <c r="J7" s="6"/>
      <c r="K7" s="6"/>
      <c r="L7" s="6"/>
      <c r="M7" s="6"/>
      <c r="N7" s="6"/>
      <c r="O7" s="6"/>
    </row>
    <row r="8" customFormat="false" ht="14.1" hidden="false" customHeight="true" outlineLevel="0" collapsed="false">
      <c r="C8" s="6" t="s">
        <v>284</v>
      </c>
      <c r="D8" s="6" t="s">
        <v>292</v>
      </c>
      <c r="E8" s="6" t="s">
        <v>202</v>
      </c>
      <c r="F8" s="6" t="s">
        <v>284</v>
      </c>
      <c r="G8" s="6" t="s">
        <v>292</v>
      </c>
      <c r="H8" s="6" t="s">
        <v>202</v>
      </c>
      <c r="J8" s="6" t="s">
        <v>284</v>
      </c>
      <c r="K8" s="6" t="s">
        <v>292</v>
      </c>
      <c r="L8" s="6" t="s">
        <v>202</v>
      </c>
      <c r="M8" s="6" t="s">
        <v>284</v>
      </c>
      <c r="N8" s="6" t="s">
        <v>292</v>
      </c>
      <c r="O8" s="6" t="s">
        <v>202</v>
      </c>
      <c r="R8" s="5"/>
    </row>
    <row r="9" customFormat="false" ht="14.1" hidden="false" customHeight="true" outlineLevel="0" collapsed="false">
      <c r="R9" s="5"/>
    </row>
    <row r="10" customFormat="false" ht="14.1" hidden="false" customHeight="true" outlineLevel="0" collapsed="false">
      <c r="B10" s="0" t="str">
        <f aca="false">'Severity per Episode'!B15</f>
        <v>Anderson-1972</v>
      </c>
      <c r="C10" s="0" t="n">
        <f aca="false">'Severity per Episode'!H15</f>
        <v>1.04</v>
      </c>
      <c r="D10" s="0" t="n">
        <f aca="false">'Severity per Episode'!K15</f>
        <v>1.7527224537844</v>
      </c>
      <c r="E10" s="26" t="n">
        <f aca="false">'Severity per Episode'!L15</f>
        <v>561</v>
      </c>
      <c r="F10" s="0" t="n">
        <f aca="false">'Severity per Episode'!R15</f>
        <v>1.32</v>
      </c>
      <c r="G10" s="0" t="n">
        <f aca="false">'Severity per Episode'!U15</f>
        <v>2.14697950619003</v>
      </c>
      <c r="H10" s="26" t="n">
        <f aca="false">'Severity per Episode'!V15</f>
        <v>609</v>
      </c>
      <c r="J10" s="98" t="n">
        <f aca="false">C10/$F10*100</f>
        <v>78.7878787878788</v>
      </c>
      <c r="K10" s="96" t="n">
        <f aca="false">D10/$F10*100</f>
        <v>132.782004074576</v>
      </c>
      <c r="L10" s="5" t="n">
        <f aca="false">E10</f>
        <v>561</v>
      </c>
      <c r="M10" s="5" t="n">
        <f aca="false">F10/$F10*100</f>
        <v>100</v>
      </c>
      <c r="N10" s="96" t="n">
        <f aca="false">G10/$F10*100</f>
        <v>162.649962590154</v>
      </c>
      <c r="O10" s="5" t="n">
        <f aca="false">H10</f>
        <v>609</v>
      </c>
      <c r="R10" s="5"/>
    </row>
    <row r="11" customFormat="false" ht="14.1" hidden="false" customHeight="true" outlineLevel="0" collapsed="false">
      <c r="B11" s="0" t="str">
        <f aca="false">'Severity per Episode'!B17</f>
        <v>Anderson-1974 #1 (1+4g)</v>
      </c>
      <c r="C11" s="0" t="n">
        <f aca="false">'Severity per Episode'!H17</f>
        <v>1.0802752293578</v>
      </c>
      <c r="D11" s="0" t="n">
        <f aca="false">'Severity per Episode'!K17</f>
        <v>1.82059870265625</v>
      </c>
      <c r="E11" s="26" t="n">
        <f aca="false">'Severity per Episode'!L17</f>
        <v>436</v>
      </c>
      <c r="F11" s="0" t="n">
        <f aca="false">'Severity per Episode'!R17</f>
        <v>1.1487414187643</v>
      </c>
      <c r="G11" s="0" t="n">
        <f aca="false">'Severity per Episode'!U17</f>
        <v>1.86842748787774</v>
      </c>
      <c r="H11" s="26" t="n">
        <f aca="false">'Severity per Episode'!W17</f>
        <v>105</v>
      </c>
      <c r="J11" s="98" t="n">
        <f aca="false">C11/$F$11*100</f>
        <v>94.0398954640155</v>
      </c>
      <c r="K11" s="96" t="n">
        <f aca="false">D11/$F$11*100</f>
        <v>158.486381087805</v>
      </c>
      <c r="L11" s="5" t="n">
        <f aca="false">E11</f>
        <v>436</v>
      </c>
      <c r="M11" s="5" t="n">
        <f aca="false">F11/$F$11*100</f>
        <v>100</v>
      </c>
      <c r="N11" s="96" t="n">
        <f aca="false">G11/$F$11*100</f>
        <v>162.649962590154</v>
      </c>
      <c r="O11" s="5" t="n">
        <f aca="false">H11</f>
        <v>105</v>
      </c>
      <c r="R11" s="5"/>
    </row>
    <row r="12" customFormat="false" ht="14.1" hidden="false" customHeight="true" outlineLevel="0" collapsed="false">
      <c r="B12" s="0" t="str">
        <f aca="false">'Severity per Episode'!B18</f>
        <v>Anderson-1974a #2 (1g)</v>
      </c>
      <c r="C12" s="0" t="n">
        <f aca="false">'Severity per Episode'!H18</f>
        <v>1.14975845410628</v>
      </c>
      <c r="D12" s="0" t="n">
        <f aca="false">'Severity per Episode'!K18</f>
        <v>1.9376994797505</v>
      </c>
      <c r="E12" s="26" t="n">
        <f aca="false">'Severity per Episode'!L18</f>
        <v>414</v>
      </c>
      <c r="F12" s="0" t="n">
        <f aca="false">'Severity per Episode'!R18</f>
        <v>0</v>
      </c>
      <c r="G12" s="0" t="n">
        <f aca="false">'Severity per Episode'!U18</f>
        <v>0</v>
      </c>
      <c r="H12" s="26" t="n">
        <f aca="false">'Severity per Episode'!W18</f>
        <v>99</v>
      </c>
      <c r="J12" s="98" t="n">
        <f aca="false">C12/$F$11*100</f>
        <v>100.088534749889</v>
      </c>
      <c r="K12" s="96" t="n">
        <f aca="false">D12/$F$11*100</f>
        <v>168.680213675491</v>
      </c>
      <c r="L12" s="5" t="n">
        <f aca="false">E12</f>
        <v>414</v>
      </c>
      <c r="M12" s="5"/>
      <c r="N12" s="96"/>
      <c r="O12" s="5" t="n">
        <f aca="false">H12</f>
        <v>99</v>
      </c>
      <c r="R12" s="5"/>
      <c r="V12" s="5"/>
      <c r="W12" s="6"/>
    </row>
    <row r="13" customFormat="false" ht="14.1" hidden="false" customHeight="true" outlineLevel="0" collapsed="false">
      <c r="B13" s="0" t="str">
        <f aca="false">'Severity per Episode'!B19</f>
        <v>Anderson-1974b #3 (2 g)</v>
      </c>
      <c r="C13" s="0" t="n">
        <f aca="false">'Severity per Episode'!H19</f>
        <v>1.19139784946237</v>
      </c>
      <c r="D13" s="0" t="n">
        <f aca="false">'Severity per Episode'!K19</f>
        <v>2.00787477129147</v>
      </c>
      <c r="E13" s="26" t="n">
        <f aca="false">'Severity per Episode'!L19</f>
        <v>465</v>
      </c>
      <c r="F13" s="0" t="n">
        <f aca="false">'Severity per Episode'!R19</f>
        <v>0</v>
      </c>
      <c r="G13" s="0" t="n">
        <f aca="false">'Severity per Episode'!U19</f>
        <v>0</v>
      </c>
      <c r="H13" s="26" t="n">
        <f aca="false">'Severity per Episode'!W19</f>
        <v>111</v>
      </c>
      <c r="J13" s="98" t="n">
        <f aca="false">C13/$F$11*100</f>
        <v>103.713318767939</v>
      </c>
      <c r="K13" s="96" t="n">
        <f aca="false">D13/$F$11*100</f>
        <v>174.789098616409</v>
      </c>
      <c r="L13" s="5" t="n">
        <f aca="false">E13</f>
        <v>465</v>
      </c>
      <c r="M13" s="5"/>
      <c r="N13" s="96"/>
      <c r="O13" s="5" t="n">
        <f aca="false">H13</f>
        <v>111</v>
      </c>
      <c r="R13" s="5"/>
      <c r="W13" s="6"/>
    </row>
    <row r="14" customFormat="false" ht="14.1" hidden="false" customHeight="true" outlineLevel="0" collapsed="false">
      <c r="B14" s="0" t="str">
        <f aca="false">'Severity per Episode'!B20</f>
        <v>Anderson-1974c #5 (0.25g)</v>
      </c>
      <c r="C14" s="0" t="n">
        <f aca="false">'Severity per Episode'!H20</f>
        <v>1.12204724409449</v>
      </c>
      <c r="D14" s="0" t="n">
        <f aca="false">'Severity per Episode'!K20</f>
        <v>1.89099749897242</v>
      </c>
      <c r="E14" s="26" t="n">
        <f aca="false">'Severity per Episode'!L20</f>
        <v>508</v>
      </c>
      <c r="F14" s="0" t="n">
        <f aca="false">'Severity per Episode'!R20</f>
        <v>0</v>
      </c>
      <c r="G14" s="0" t="n">
        <f aca="false">'Severity per Episode'!U20</f>
        <v>0</v>
      </c>
      <c r="H14" s="26" t="n">
        <f aca="false">'Severity per Episode'!W20</f>
        <v>122</v>
      </c>
      <c r="J14" s="98" t="n">
        <f aca="false">C14/$F$11*100</f>
        <v>97.6762242369106</v>
      </c>
      <c r="K14" s="96" t="n">
        <f aca="false">D14/$F$11*100</f>
        <v>164.614722520109</v>
      </c>
      <c r="L14" s="5" t="n">
        <f aca="false">E14</f>
        <v>508</v>
      </c>
      <c r="M14" s="5"/>
      <c r="N14" s="96"/>
      <c r="O14" s="5" t="n">
        <f aca="false">H14</f>
        <v>122</v>
      </c>
      <c r="Q14" s="105"/>
      <c r="R14" s="105"/>
      <c r="S14" s="105"/>
      <c r="T14" s="105"/>
      <c r="U14" s="105"/>
      <c r="V14" s="105"/>
      <c r="W14" s="6"/>
      <c r="X14" s="105"/>
      <c r="Y14" s="105"/>
    </row>
    <row r="15" customFormat="false" ht="14.1" hidden="false" customHeight="true" outlineLevel="0" collapsed="false">
      <c r="B15" s="0" t="str">
        <f aca="false">'Severity per Episode'!B21</f>
        <v>Ludvigsson-1977 Pilot</v>
      </c>
      <c r="C15" s="0" t="n">
        <f aca="false">'Severity per Episode'!H21</f>
        <v>2.68</v>
      </c>
      <c r="D15" s="0" t="n">
        <f aca="false">'Severity per Episode'!K21</f>
        <v>1.88</v>
      </c>
      <c r="E15" s="26" t="n">
        <f aca="false">'Severity per Episode'!L21</f>
        <v>62.4</v>
      </c>
      <c r="F15" s="0" t="n">
        <f aca="false">'Severity per Episode'!R21</f>
        <v>3.87</v>
      </c>
      <c r="G15" s="0" t="n">
        <f aca="false">'Severity per Episode'!U21</f>
        <v>3.45</v>
      </c>
      <c r="H15" s="26" t="n">
        <f aca="false">'Severity per Episode'!V21</f>
        <v>55.38</v>
      </c>
      <c r="J15" s="98" t="n">
        <f aca="false">C15/$F15*100</f>
        <v>69.250645994832</v>
      </c>
      <c r="K15" s="96" t="n">
        <f aca="false">D15/$F15*100</f>
        <v>48.578811369509</v>
      </c>
      <c r="L15" s="5" t="n">
        <f aca="false">E15</f>
        <v>62.4</v>
      </c>
      <c r="M15" s="5" t="n">
        <f aca="false">F15/$F15*100</f>
        <v>100</v>
      </c>
      <c r="N15" s="96" t="n">
        <f aca="false">G15/$F15*100</f>
        <v>89.1472868217054</v>
      </c>
      <c r="O15" s="5" t="n">
        <f aca="false">H15</f>
        <v>55.38</v>
      </c>
      <c r="S15" s="106"/>
      <c r="U15" s="106"/>
      <c r="W15" s="106"/>
      <c r="Y15" s="106"/>
    </row>
    <row r="16" customFormat="false" ht="14.1" hidden="false" customHeight="true" outlineLevel="0" collapsed="false">
      <c r="B16" s="0" t="str">
        <f aca="false">'Severity per Episode'!B22</f>
        <v>Ludvigsson-1977a Large</v>
      </c>
      <c r="C16" s="0" t="n">
        <f aca="false">'Severity per Episode'!H22</f>
        <v>2.77</v>
      </c>
      <c r="D16" s="0" t="n">
        <f aca="false">'Severity per Episode'!K22</f>
        <v>1.74</v>
      </c>
      <c r="E16" s="26" t="n">
        <f aca="false">'Severity per Episode'!L22</f>
        <v>422.56</v>
      </c>
      <c r="F16" s="0" t="n">
        <f aca="false">'Severity per Episode'!R22</f>
        <v>3.22</v>
      </c>
      <c r="G16" s="0" t="n">
        <f aca="false">'Severity per Episode'!U22</f>
        <v>2.38</v>
      </c>
      <c r="H16" s="26" t="n">
        <f aca="false">'Severity per Episode'!V22</f>
        <v>398.08</v>
      </c>
      <c r="J16" s="98" t="n">
        <f aca="false">C16/$F16*100</f>
        <v>86.0248447204969</v>
      </c>
      <c r="K16" s="96" t="n">
        <f aca="false">D16/$F16*100</f>
        <v>54.0372670807453</v>
      </c>
      <c r="L16" s="5" t="n">
        <f aca="false">E16</f>
        <v>422.56</v>
      </c>
      <c r="M16" s="5" t="n">
        <f aca="false">F16/$F16*100</f>
        <v>100</v>
      </c>
      <c r="N16" s="96" t="n">
        <f aca="false">G16/$F16*100</f>
        <v>73.9130434782609</v>
      </c>
      <c r="O16" s="5" t="n">
        <f aca="false">H16</f>
        <v>398.08</v>
      </c>
      <c r="S16" s="106"/>
      <c r="U16" s="106"/>
      <c r="W16" s="106"/>
      <c r="Y16" s="106"/>
    </row>
    <row r="17" customFormat="false" ht="14.1" hidden="false" customHeight="true" outlineLevel="0" collapsed="false">
      <c r="B17" s="0" t="str">
        <f aca="false">'Severity per Episode'!B23</f>
        <v>Sabiston-1974</v>
      </c>
      <c r="C17" s="0" t="n">
        <f aca="false">'Severity per Episode'!H23</f>
        <v>0.8</v>
      </c>
      <c r="D17" s="0" t="n">
        <f aca="false">'Severity per Episode'!K23</f>
        <v>0.8</v>
      </c>
      <c r="E17" s="26" t="n">
        <f aca="false">'Severity per Episode'!L23</f>
        <v>6</v>
      </c>
      <c r="F17" s="0" t="n">
        <f aca="false">'Severity per Episode'!R23</f>
        <v>2.4</v>
      </c>
      <c r="G17" s="0" t="n">
        <f aca="false">'Severity per Episode'!U23</f>
        <v>2.1</v>
      </c>
      <c r="H17" s="26" t="n">
        <f aca="false">'Severity per Episode'!V23</f>
        <v>14</v>
      </c>
      <c r="J17" s="98" t="n">
        <f aca="false">C17/$F17*100</f>
        <v>33.3333333333333</v>
      </c>
      <c r="K17" s="96" t="n">
        <f aca="false">D17/$F17*100</f>
        <v>33.3333333333333</v>
      </c>
      <c r="L17" s="5" t="n">
        <f aca="false">E17</f>
        <v>6</v>
      </c>
      <c r="M17" s="5" t="n">
        <f aca="false">F17/$F17*100</f>
        <v>100</v>
      </c>
      <c r="N17" s="96" t="n">
        <f aca="false">G17/$F17*100</f>
        <v>87.5</v>
      </c>
      <c r="O17" s="5" t="n">
        <f aca="false">H17</f>
        <v>14</v>
      </c>
      <c r="S17" s="106"/>
      <c r="U17" s="106"/>
      <c r="W17" s="106"/>
      <c r="Y17" s="106"/>
    </row>
    <row r="18" customFormat="false" ht="14.1" hidden="false" customHeight="true" outlineLevel="0" collapsed="false">
      <c r="E18" s="26"/>
      <c r="H18" s="26"/>
      <c r="J18" s="98"/>
      <c r="K18" s="96"/>
      <c r="L18" s="5"/>
      <c r="M18" s="5"/>
      <c r="N18" s="96"/>
      <c r="O18" s="5"/>
      <c r="S18" s="106"/>
      <c r="U18" s="106"/>
      <c r="W18" s="106"/>
      <c r="Y18" s="106"/>
    </row>
    <row r="19" customFormat="false" ht="14.1" hidden="false" customHeight="true" outlineLevel="0" collapsed="false">
      <c r="E19" s="26"/>
      <c r="H19" s="26"/>
      <c r="J19" s="98"/>
      <c r="K19" s="96"/>
      <c r="L19" s="5"/>
      <c r="M19" s="5"/>
      <c r="N19" s="96"/>
      <c r="O19" s="5"/>
      <c r="S19" s="106"/>
      <c r="U19" s="106"/>
      <c r="W19" s="106"/>
      <c r="Y19" s="106"/>
    </row>
    <row r="20" customFormat="false" ht="14.1" hidden="false" customHeight="true" outlineLevel="0" collapsed="false">
      <c r="E20" s="26"/>
      <c r="H20" s="26"/>
      <c r="J20" s="98"/>
      <c r="K20" s="96"/>
      <c r="L20" s="5"/>
      <c r="M20" s="5"/>
      <c r="N20" s="96"/>
      <c r="O20" s="5"/>
      <c r="S20" s="106"/>
      <c r="U20" s="106"/>
      <c r="W20" s="106"/>
      <c r="Y20" s="106"/>
    </row>
    <row r="21" customFormat="false" ht="14.1" hidden="false" customHeight="true" outlineLevel="0" collapsed="false">
      <c r="B21" s="0" t="str">
        <f aca="false">'Severity per Episode'!B27</f>
        <v>Carr-1981 Together</v>
      </c>
      <c r="C21" s="0" t="n">
        <f aca="false">'Severity per Episode'!H27</f>
        <v>23.6</v>
      </c>
      <c r="D21" s="0" t="n">
        <f aca="false">'Severity per Episode'!K27</f>
        <v>26.5770968278832</v>
      </c>
      <c r="E21" s="26" t="n">
        <f aca="false">'Severity per Episode'!L27</f>
        <v>93.84</v>
      </c>
      <c r="F21" s="0" t="n">
        <f aca="false">'Severity per Episode'!R27</f>
        <v>22.2</v>
      </c>
      <c r="G21" s="0" t="n">
        <f aca="false">'Severity per Episode'!U27</f>
        <v>26.5770968278832</v>
      </c>
      <c r="H21" s="26" t="n">
        <f aca="false">'Severity per Episode'!V27</f>
        <v>69.87</v>
      </c>
      <c r="J21" s="98" t="n">
        <f aca="false">C21/$F21*100</f>
        <v>106.306306306306</v>
      </c>
      <c r="K21" s="96" t="n">
        <f aca="false">D21/$F21*100</f>
        <v>119.716652377852</v>
      </c>
      <c r="L21" s="5" t="n">
        <f aca="false">E21</f>
        <v>93.84</v>
      </c>
      <c r="M21" s="5" t="n">
        <f aca="false">F21/$F21*100</f>
        <v>100</v>
      </c>
      <c r="N21" s="96" t="n">
        <f aca="false">G21/$F21*100</f>
        <v>119.716652377852</v>
      </c>
      <c r="O21" s="5" t="n">
        <f aca="false">H21</f>
        <v>69.87</v>
      </c>
      <c r="S21" s="106"/>
      <c r="U21" s="106"/>
      <c r="W21" s="106"/>
      <c r="Y21" s="106"/>
    </row>
    <row r="22" customFormat="false" ht="14.1" hidden="false" customHeight="true" outlineLevel="0" collapsed="false">
      <c r="B22" s="0" t="str">
        <f aca="false">'Severity per Episode'!B28</f>
        <v>Carr-1981a Apart</v>
      </c>
      <c r="C22" s="0" t="n">
        <f aca="false">'Severity per Episode'!H28</f>
        <v>21.9</v>
      </c>
      <c r="D22" s="0" t="n">
        <f aca="false">'Severity per Episode'!K28</f>
        <v>26.5770968278832</v>
      </c>
      <c r="E22" s="26" t="n">
        <f aca="false">'Severity per Episode'!L28</f>
        <v>57.2</v>
      </c>
      <c r="F22" s="0" t="n">
        <f aca="false">'Severity per Episode'!R28</f>
        <v>33.6</v>
      </c>
      <c r="G22" s="0" t="n">
        <f aca="false">'Severity per Episode'!U28</f>
        <v>26.5770968278832</v>
      </c>
      <c r="H22" s="26" t="n">
        <f aca="false">'Severity per Episode'!V28</f>
        <v>70.84</v>
      </c>
      <c r="J22" s="98" t="n">
        <f aca="false">C22/$F22*100</f>
        <v>65.1785714285714</v>
      </c>
      <c r="K22" s="96" t="n">
        <f aca="false">D22/$F22*100</f>
        <v>79.0985024639382</v>
      </c>
      <c r="L22" s="5" t="n">
        <f aca="false">E22</f>
        <v>57.2</v>
      </c>
      <c r="M22" s="5" t="n">
        <f aca="false">F22/$F22*100</f>
        <v>100</v>
      </c>
      <c r="N22" s="96" t="n">
        <f aca="false">G22/$F22*100</f>
        <v>79.0985024639382</v>
      </c>
      <c r="O22" s="5" t="n">
        <f aca="false">H22</f>
        <v>70.84</v>
      </c>
      <c r="S22" s="106"/>
      <c r="U22" s="106"/>
      <c r="W22" s="106"/>
      <c r="Y22" s="106"/>
    </row>
    <row r="23" customFormat="false" ht="14.1" hidden="false" customHeight="true" outlineLevel="0" collapsed="false">
      <c r="B23" s="0" t="str">
        <f aca="false">'Severity per Episode'!B29</f>
        <v>Constantini 2011 Male</v>
      </c>
      <c r="C23" s="0" t="n">
        <f aca="false">'Severity per Episode'!H29</f>
        <v>26</v>
      </c>
      <c r="D23" s="0" t="n">
        <f aca="false">'Severity per Episode'!K29</f>
        <v>30</v>
      </c>
      <c r="E23" s="26" t="n">
        <f aca="false">'Severity per Episode'!L29</f>
        <v>30</v>
      </c>
      <c r="F23" s="0" t="n">
        <f aca="false">'Severity per Episode'!R29</f>
        <v>66</v>
      </c>
      <c r="G23" s="0" t="n">
        <f aca="false">'Severity per Episode'!U29</f>
        <v>85</v>
      </c>
      <c r="H23" s="26" t="n">
        <f aca="false">'Severity per Episode'!V29</f>
        <v>21</v>
      </c>
      <c r="J23" s="98" t="n">
        <f aca="false">C23/$F23*100</f>
        <v>39.3939393939394</v>
      </c>
      <c r="K23" s="96" t="n">
        <f aca="false">D23/$F23*100</f>
        <v>45.4545454545455</v>
      </c>
      <c r="L23" s="5" t="n">
        <f aca="false">E23</f>
        <v>30</v>
      </c>
      <c r="M23" s="5" t="n">
        <f aca="false">F23/$F23*100</f>
        <v>100</v>
      </c>
      <c r="N23" s="96" t="n">
        <f aca="false">G23/$F23*100</f>
        <v>128.787878787879</v>
      </c>
      <c r="O23" s="5" t="n">
        <f aca="false">H23</f>
        <v>21</v>
      </c>
      <c r="R23" s="5"/>
      <c r="S23" s="106"/>
      <c r="U23" s="106"/>
      <c r="W23" s="106"/>
      <c r="Y23" s="106"/>
    </row>
    <row r="24" customFormat="false" ht="14.1" hidden="false" customHeight="true" outlineLevel="0" collapsed="false">
      <c r="B24" s="0" t="str">
        <f aca="false">'Severity per Episode'!B30</f>
        <v>Constantini 2011a Female</v>
      </c>
      <c r="C24" s="0" t="n">
        <f aca="false">'Severity per Episode'!H30</f>
        <v>64</v>
      </c>
      <c r="D24" s="0" t="n">
        <f aca="false">'Severity per Episode'!K30</f>
        <v>51</v>
      </c>
      <c r="E24" s="26" t="n">
        <f aca="false">'Severity per Episode'!L30</f>
        <v>25</v>
      </c>
      <c r="F24" s="0" t="n">
        <f aca="false">'Severity per Episode'!R30</f>
        <v>52</v>
      </c>
      <c r="G24" s="0" t="n">
        <f aca="false">'Severity per Episode'!U30</f>
        <v>89</v>
      </c>
      <c r="H24" s="26" t="n">
        <f aca="false">'Severity per Episode'!V30</f>
        <v>22</v>
      </c>
      <c r="J24" s="98" t="n">
        <f aca="false">C24/$F24*100</f>
        <v>123.076923076923</v>
      </c>
      <c r="K24" s="96" t="n">
        <f aca="false">D24/$F24*100</f>
        <v>98.0769230769231</v>
      </c>
      <c r="L24" s="5" t="n">
        <f aca="false">E24</f>
        <v>25</v>
      </c>
      <c r="M24" s="5" t="n">
        <f aca="false">F24/$F24*100</f>
        <v>100</v>
      </c>
      <c r="N24" s="96" t="n">
        <f aca="false">G24/$F24*100</f>
        <v>171.153846153846</v>
      </c>
      <c r="O24" s="5" t="n">
        <f aca="false">H24</f>
        <v>22</v>
      </c>
      <c r="S24" s="106"/>
      <c r="U24" s="106"/>
      <c r="W24" s="106"/>
      <c r="Y24" s="106"/>
    </row>
    <row r="25" customFormat="false" ht="14.1" hidden="false" customHeight="true" outlineLevel="0" collapsed="false">
      <c r="B25" s="0" t="str">
        <f aca="false">'Severity per Episode'!B31</f>
        <v>Himmelstein 1998sed</v>
      </c>
      <c r="C25" s="0" t="n">
        <f aca="false">'Severity per Episode'!H31</f>
        <v>16.1</v>
      </c>
      <c r="D25" s="0" t="n">
        <f aca="false">'Severity per Episode'!K31</f>
        <v>14.6</v>
      </c>
      <c r="E25" s="26" t="n">
        <f aca="false">'Severity per Episode'!L31</f>
        <v>14</v>
      </c>
      <c r="F25" s="0" t="n">
        <f aca="false">'Severity per Episode'!R31</f>
        <v>37.4</v>
      </c>
      <c r="G25" s="0" t="n">
        <f aca="false">'Severity per Episode'!U31</f>
        <v>52.7</v>
      </c>
      <c r="H25" s="26" t="n">
        <f aca="false">'Severity per Episode'!V31</f>
        <v>12</v>
      </c>
      <c r="J25" s="98" t="n">
        <f aca="false">C25/$F25*100</f>
        <v>43.048128342246</v>
      </c>
      <c r="K25" s="96" t="n">
        <f aca="false">D25/$F25*100</f>
        <v>39.0374331550802</v>
      </c>
      <c r="L25" s="5" t="n">
        <f aca="false">E25</f>
        <v>14</v>
      </c>
      <c r="M25" s="5" t="n">
        <f aca="false">F25/$F25*100</f>
        <v>100</v>
      </c>
      <c r="N25" s="96" t="n">
        <f aca="false">G25/$F25*100</f>
        <v>140.909090909091</v>
      </c>
      <c r="O25" s="5" t="n">
        <f aca="false">H25</f>
        <v>12</v>
      </c>
      <c r="S25" s="106"/>
      <c r="U25" s="106"/>
      <c r="W25" s="106"/>
      <c r="Y25" s="106"/>
    </row>
    <row r="26" customFormat="false" ht="14.1" hidden="false" customHeight="true" outlineLevel="0" collapsed="false">
      <c r="B26" s="0" t="str">
        <f aca="false">'Severity per Episode'!B32</f>
        <v>Miller-1977_1000mg</v>
      </c>
      <c r="C26" s="0" t="n">
        <f aca="false">'Severity per Episode'!H32</f>
        <v>22.5</v>
      </c>
      <c r="D26" s="0" t="n">
        <f aca="false">'Severity per Episode'!K32</f>
        <v>48.080565334832</v>
      </c>
      <c r="E26" s="26" t="n">
        <f aca="false">'Severity per Episode'!L32</f>
        <v>52.8</v>
      </c>
      <c r="F26" s="0" t="n">
        <f aca="false">'Severity per Episode'!R32</f>
        <v>27.3</v>
      </c>
      <c r="G26" s="0" t="n">
        <f aca="false">'Severity per Episode'!U32</f>
        <v>48.080565334832</v>
      </c>
      <c r="H26" s="26" t="n">
        <f aca="false">'Severity per Episode'!V32</f>
        <v>41.8</v>
      </c>
      <c r="J26" s="98" t="n">
        <f aca="false">C26/$F26*100</f>
        <v>82.4175824175824</v>
      </c>
      <c r="K26" s="96" t="n">
        <f aca="false">D26/$F26*100</f>
        <v>176.119286940776</v>
      </c>
      <c r="L26" s="5" t="n">
        <f aca="false">E26</f>
        <v>52.8</v>
      </c>
      <c r="M26" s="5" t="n">
        <f aca="false">F26/$F26*100</f>
        <v>100</v>
      </c>
      <c r="N26" s="96" t="n">
        <f aca="false">G26/$F26*100</f>
        <v>176.119286940776</v>
      </c>
      <c r="O26" s="5" t="n">
        <f aca="false">H26</f>
        <v>41.8</v>
      </c>
      <c r="S26" s="106"/>
      <c r="U26" s="106"/>
      <c r="W26" s="106"/>
      <c r="Y26" s="106"/>
    </row>
    <row r="27" customFormat="false" ht="14.1" hidden="false" customHeight="true" outlineLevel="0" collapsed="false">
      <c r="E27" s="26"/>
      <c r="H27" s="26"/>
      <c r="J27" s="98"/>
      <c r="K27" s="96"/>
      <c r="L27" s="5"/>
      <c r="M27" s="5"/>
      <c r="N27" s="96"/>
      <c r="O27" s="5"/>
      <c r="S27" s="106"/>
      <c r="U27" s="106"/>
      <c r="W27" s="106"/>
      <c r="Y27" s="106"/>
    </row>
    <row r="28" customFormat="false" ht="14.1" hidden="false" customHeight="true" outlineLevel="0" collapsed="false">
      <c r="E28" s="26"/>
      <c r="H28" s="26"/>
      <c r="J28" s="98"/>
      <c r="K28" s="96"/>
      <c r="L28" s="5"/>
      <c r="M28" s="5"/>
      <c r="N28" s="96"/>
      <c r="O28" s="5"/>
      <c r="S28" s="106"/>
      <c r="U28" s="106"/>
      <c r="W28" s="106"/>
      <c r="Y28" s="106"/>
    </row>
    <row r="29" customFormat="false" ht="14.1" hidden="false" customHeight="true" outlineLevel="0" collapsed="false">
      <c r="B29" s="0" t="str">
        <f aca="false">'Severity per Episode'!B33</f>
        <v>Pitt-1979</v>
      </c>
      <c r="C29" s="0" t="n">
        <f aca="false">'Severity per Episode'!H33</f>
        <v>0.87</v>
      </c>
      <c r="D29" s="0" t="n">
        <f aca="false">'Severity per Episode'!K33</f>
        <v>0.76599149738774</v>
      </c>
      <c r="E29" s="26" t="n">
        <f aca="false">'Severity per Episode'!L33</f>
        <v>600</v>
      </c>
      <c r="F29" s="0" t="n">
        <f aca="false">'Severity per Episode'!R33</f>
        <v>0.97</v>
      </c>
      <c r="G29" s="0" t="n">
        <f aca="false">'Severity per Episode'!U33</f>
        <v>0.76599149738774</v>
      </c>
      <c r="H29" s="26" t="n">
        <f aca="false">'Severity per Episode'!V33</f>
        <v>619</v>
      </c>
      <c r="J29" s="98" t="n">
        <f aca="false">C29/$F29*100</f>
        <v>89.6907216494845</v>
      </c>
      <c r="K29" s="96" t="n">
        <f aca="false">D29/$F29*100</f>
        <v>78.9681956069835</v>
      </c>
      <c r="L29" s="5" t="n">
        <f aca="false">E29</f>
        <v>600</v>
      </c>
      <c r="M29" s="5" t="n">
        <f aca="false">F29/$F29*100</f>
        <v>100</v>
      </c>
      <c r="N29" s="96" t="n">
        <f aca="false">G29/$F29*100</f>
        <v>78.9681956069835</v>
      </c>
      <c r="O29" s="5" t="n">
        <f aca="false">H29</f>
        <v>619</v>
      </c>
      <c r="S29" s="106"/>
      <c r="U29" s="106"/>
      <c r="W29" s="106"/>
      <c r="Y29" s="106"/>
    </row>
    <row r="30" customFormat="false" ht="14.1" hidden="false" customHeight="true" outlineLevel="0" collapsed="false">
      <c r="B30" s="56" t="s">
        <v>352</v>
      </c>
      <c r="E30" s="26"/>
      <c r="H30" s="26"/>
      <c r="S30" s="106"/>
      <c r="U30" s="106"/>
      <c r="W30" s="106"/>
      <c r="Y30" s="106"/>
    </row>
    <row r="31" customFormat="false" ht="14.1" hidden="false" customHeight="true" outlineLevel="0" collapsed="false">
      <c r="B31" s="56" t="s">
        <v>353</v>
      </c>
      <c r="E31" s="26"/>
      <c r="H31" s="26"/>
      <c r="S31" s="106"/>
      <c r="U31" s="106"/>
      <c r="W31" s="106"/>
      <c r="Y31" s="106"/>
    </row>
    <row r="32" customFormat="false" ht="14.1" hidden="false" customHeight="true" outlineLevel="0" collapsed="false">
      <c r="E32" s="26"/>
      <c r="H32" s="26"/>
      <c r="S32" s="106"/>
      <c r="U32" s="106"/>
      <c r="W32" s="106"/>
      <c r="Y32" s="106"/>
    </row>
    <row r="33" customFormat="false" ht="14.1" hidden="false" customHeight="true" outlineLevel="0" collapsed="false">
      <c r="B33" s="0" t="str">
        <f aca="false">'Severity per Episode'!B38</f>
        <v>Miller-1977a_750mg</v>
      </c>
      <c r="C33" s="0" t="n">
        <f aca="false">'Severity per Episode'!H38</f>
        <v>48.6</v>
      </c>
      <c r="D33" s="0" t="n">
        <f aca="false">'Severity per Episode'!K38</f>
        <v>0</v>
      </c>
      <c r="E33" s="26" t="n">
        <f aca="false">'Severity per Episode'!L38</f>
        <v>41.8</v>
      </c>
      <c r="F33" s="0" t="n">
        <f aca="false">'Severity per Episode'!R38</f>
        <v>46.2</v>
      </c>
      <c r="G33" s="0" t="n">
        <f aca="false">'Severity per Episode'!U38</f>
        <v>0</v>
      </c>
      <c r="H33" s="26" t="n">
        <f aca="false">'Severity per Episode'!V38</f>
        <v>39.6</v>
      </c>
      <c r="S33" s="106"/>
      <c r="U33" s="106"/>
      <c r="W33" s="106"/>
      <c r="Y33" s="106"/>
    </row>
    <row r="34" customFormat="false" ht="14.1" hidden="false" customHeight="true" outlineLevel="0" collapsed="false">
      <c r="B34" s="0" t="str">
        <f aca="false">'Severity per Episode'!B39</f>
        <v>Miller-1977b_500mg</v>
      </c>
      <c r="C34" s="0" t="n">
        <f aca="false">'Severity per Episode'!H39</f>
        <v>14.6</v>
      </c>
      <c r="D34" s="0" t="n">
        <f aca="false">'Severity per Episode'!K39</f>
        <v>0</v>
      </c>
      <c r="E34" s="26" t="n">
        <f aca="false">'Severity per Episode'!L39</f>
        <v>116</v>
      </c>
      <c r="F34" s="0" t="n">
        <f aca="false">'Severity per Episode'!R39</f>
        <v>19</v>
      </c>
      <c r="G34" s="0" t="n">
        <f aca="false">'Severity per Episode'!U39</f>
        <v>0</v>
      </c>
      <c r="H34" s="26" t="n">
        <f aca="false">'Severity per Episode'!V39</f>
        <v>122</v>
      </c>
    </row>
    <row r="35" customFormat="false" ht="14.1" hidden="false" customHeight="true" outlineLevel="0" collapsed="false">
      <c r="B35" s="0" t="str">
        <f aca="false">'Severity per Episode'!B40</f>
        <v>Wilson_1973 Girls</v>
      </c>
      <c r="C35" s="0" t="n">
        <f aca="false">'Severity per Episode'!H40</f>
        <v>4.52</v>
      </c>
      <c r="D35" s="0" t="n">
        <f aca="false">'Severity per Episode'!K40</f>
        <v>6.33048181420656</v>
      </c>
      <c r="E35" s="26" t="n">
        <f aca="false">'Severity per Episode'!L40</f>
        <v>160.3</v>
      </c>
      <c r="F35" s="0" t="n">
        <f aca="false">'Severity per Episode'!R40</f>
        <v>5.94</v>
      </c>
      <c r="G35" s="0" t="n">
        <f aca="false">'Severity per Episode'!U40</f>
        <v>6.28249122562061</v>
      </c>
      <c r="H35" s="26" t="n">
        <f aca="false">'Severity per Episode'!V40</f>
        <v>125.86</v>
      </c>
    </row>
    <row r="36" customFormat="false" ht="14.1" hidden="false" customHeight="true" outlineLevel="0" collapsed="false">
      <c r="B36" s="0" t="str">
        <f aca="false">'Severity per Episode'!B41</f>
        <v>Wilson_1973a Boys</v>
      </c>
      <c r="C36" s="0" t="n">
        <f aca="false">'Severity per Episode'!H41</f>
        <v>4.2</v>
      </c>
      <c r="D36" s="0" t="n">
        <f aca="false">'Severity per Episode'!K41</f>
        <v>4.43895753527785</v>
      </c>
      <c r="E36" s="26" t="n">
        <f aca="false">'Severity per Episode'!L41</f>
        <v>205.04</v>
      </c>
      <c r="F36" s="0" t="n">
        <f aca="false">'Severity per Episode'!R41</f>
        <v>3.8</v>
      </c>
      <c r="G36" s="0" t="n">
        <f aca="false">'Severity per Episode'!U41</f>
        <v>4.51847009506536</v>
      </c>
      <c r="H36" s="26" t="n">
        <f aca="false">'Severity per Episode'!V41</f>
        <v>187.48</v>
      </c>
    </row>
    <row r="37" customFormat="false" ht="14.1" hidden="false" customHeight="true" outlineLevel="0" collapsed="false">
      <c r="E37" s="26"/>
      <c r="H37" s="26"/>
      <c r="R37" s="5"/>
    </row>
    <row r="38" customFormat="false" ht="14.1" hidden="false" customHeight="true" outlineLevel="0" collapsed="false">
      <c r="H38" s="26"/>
      <c r="R38" s="5"/>
    </row>
    <row r="39" customFormat="false" ht="14.1" hidden="false" customHeight="true" outlineLevel="0" collapsed="false">
      <c r="G39" s="5"/>
    </row>
    <row r="40" customFormat="false" ht="14.1" hidden="false" customHeight="true" outlineLevel="0" collapsed="false">
      <c r="E40" s="26"/>
      <c r="H40" s="26"/>
      <c r="S40" s="106"/>
      <c r="U40" s="106"/>
      <c r="W40" s="106"/>
      <c r="Y40" s="106"/>
    </row>
    <row r="41" customFormat="false" ht="14.1" hidden="false" customHeight="true" outlineLevel="0" collapsed="false">
      <c r="E41" s="26"/>
      <c r="H41" s="26"/>
      <c r="S41" s="106"/>
      <c r="U41" s="106"/>
      <c r="W41" s="106"/>
      <c r="Y41" s="106"/>
    </row>
    <row r="42" customFormat="false" ht="14.1" hidden="false" customHeight="true" outlineLevel="0" collapsed="false">
      <c r="B42" s="0" t="str">
        <f aca="false">'Severity per Episode'!B47</f>
        <v>Treatment: severity</v>
      </c>
      <c r="E42" s="26"/>
      <c r="H42" s="26"/>
      <c r="S42" s="106"/>
      <c r="U42" s="106"/>
      <c r="W42" s="106"/>
      <c r="Y42" s="106"/>
    </row>
    <row r="43" customFormat="false" ht="14.1" hidden="false" customHeight="true" outlineLevel="0" collapsed="false">
      <c r="E43" s="26"/>
      <c r="H43" s="26"/>
    </row>
    <row r="44" customFormat="false" ht="14.1" hidden="false" customHeight="true" outlineLevel="0" collapsed="false">
      <c r="C44" s="1" t="str">
        <f aca="false">'Severity per Episode'!H49</f>
        <v>Confined</v>
      </c>
      <c r="D44" s="1"/>
      <c r="E44" s="39"/>
      <c r="F44" s="1" t="str">
        <f aca="false">'Severity per Episode'!R49</f>
        <v>Confined</v>
      </c>
      <c r="G44" s="1"/>
      <c r="H44" s="39"/>
    </row>
    <row r="45" customFormat="false" ht="14.1" hidden="false" customHeight="true" outlineLevel="0" collapsed="false">
      <c r="C45" s="1" t="str">
        <f aca="false">'Severity per Episode'!H50</f>
        <v>indoors</v>
      </c>
      <c r="D45" s="1"/>
      <c r="E45" s="39"/>
      <c r="F45" s="1" t="str">
        <f aca="false">'Severity per Episode'!R50</f>
        <v>indoors</v>
      </c>
      <c r="G45" s="1"/>
      <c r="H45" s="39"/>
      <c r="R45" s="5"/>
    </row>
    <row r="46" customFormat="false" ht="14.1" hidden="false" customHeight="true" outlineLevel="0" collapsed="false">
      <c r="C46" s="1" t="str">
        <f aca="false">'Severity per Episode'!H51</f>
        <v>(off work)</v>
      </c>
      <c r="D46" s="1"/>
      <c r="E46" s="39" t="str">
        <f aca="false">'Severity per Episode'!L51</f>
        <v>Episodes</v>
      </c>
      <c r="F46" s="1" t="str">
        <f aca="false">'Severity per Episode'!R51</f>
        <v>(off work)</v>
      </c>
      <c r="G46" s="1"/>
      <c r="H46" s="39" t="str">
        <f aca="false">'Severity per Episode'!V51</f>
        <v>Episodes</v>
      </c>
    </row>
    <row r="47" customFormat="false" ht="14.1" hidden="false" customHeight="true" outlineLevel="0" collapsed="false">
      <c r="C47" s="1" t="str">
        <f aca="false">'Severity per Episode'!H52</f>
        <v>days</v>
      </c>
      <c r="D47" s="1" t="str">
        <f aca="false">'Severity per Episode'!K52</f>
        <v>SD</v>
      </c>
      <c r="E47" s="39" t="str">
        <f aca="false">'Severity per Episode'!L52</f>
        <v>N</v>
      </c>
      <c r="F47" s="1" t="str">
        <f aca="false">'Severity per Episode'!R52</f>
        <v>days</v>
      </c>
      <c r="G47" s="1" t="str">
        <f aca="false">'Severity per Episode'!U52</f>
        <v>SD</v>
      </c>
      <c r="H47" s="39" t="str">
        <f aca="false">'Severity per Episode'!V52</f>
        <v>N</v>
      </c>
      <c r="P47" s="5" t="s">
        <v>501</v>
      </c>
      <c r="S47" s="106"/>
      <c r="U47" s="106"/>
      <c r="W47" s="106"/>
      <c r="Y47" s="106"/>
    </row>
    <row r="48" customFormat="false" ht="14.1" hidden="false" customHeight="true" outlineLevel="0" collapsed="false">
      <c r="E48" s="26"/>
      <c r="H48" s="26"/>
    </row>
    <row r="49" customFormat="false" ht="14.1" hidden="false" customHeight="true" outlineLevel="0" collapsed="false">
      <c r="E49" s="26"/>
      <c r="H49" s="26"/>
      <c r="J49" s="98"/>
      <c r="K49" s="96"/>
      <c r="L49" s="5"/>
      <c r="M49" s="5"/>
      <c r="N49" s="96"/>
      <c r="O49" s="5"/>
    </row>
    <row r="50" customFormat="false" ht="14.1" hidden="false" customHeight="true" outlineLevel="0" collapsed="false">
      <c r="B50" s="0" t="str">
        <f aca="false">'Severity per Episode'!B55</f>
        <v>Anderson-1974d #7 (4g)</v>
      </c>
      <c r="C50" s="0" t="n">
        <f aca="false">'Severity per Episode'!H55</f>
        <v>1.09832134292566</v>
      </c>
      <c r="D50" s="0" t="n">
        <f aca="false">'Severity per Episode'!K55</f>
        <v>1.64672983563092</v>
      </c>
      <c r="E50" s="26" t="n">
        <f aca="false">'Severity per Episode'!L55</f>
        <v>417</v>
      </c>
      <c r="F50" s="0" t="n">
        <f aca="false">'Severity per Episode'!R55</f>
        <v>1.1487414187643</v>
      </c>
      <c r="G50" s="0" t="n">
        <f aca="false">'Severity per Episode'!U55</f>
        <v>1.72232541950357</v>
      </c>
      <c r="H50" s="26" t="n">
        <f aca="false">'Severity per Episode'!V55</f>
        <v>437</v>
      </c>
      <c r="I50" s="26" t="n">
        <f aca="false">'Severity per Episode'!W55</f>
        <v>202</v>
      </c>
      <c r="J50" s="98" t="n">
        <f aca="false">C50/$F50*100</f>
        <v>95.6108420036879</v>
      </c>
      <c r="K50" s="96" t="n">
        <f aca="false">D50/$F50*100</f>
        <v>143.350784496157</v>
      </c>
      <c r="L50" s="5" t="n">
        <f aca="false">E50</f>
        <v>417</v>
      </c>
      <c r="M50" s="5" t="n">
        <f aca="false">F50/$F50*100</f>
        <v>100</v>
      </c>
      <c r="N50" s="96" t="n">
        <f aca="false">G50/$F50*100</f>
        <v>149.931515602203</v>
      </c>
      <c r="O50" s="5" t="n">
        <f aca="false">H50</f>
        <v>437</v>
      </c>
      <c r="P50" s="5" t="n">
        <f aca="false">I50</f>
        <v>202</v>
      </c>
    </row>
    <row r="51" customFormat="false" ht="14.1" hidden="false" customHeight="true" outlineLevel="0" collapsed="false">
      <c r="B51" s="0" t="str">
        <f aca="false">'Severity per Episode'!B56</f>
        <v>Anderson-1974e #8 (8g)</v>
      </c>
      <c r="C51" s="0" t="n">
        <f aca="false">'Severity per Episode'!H56</f>
        <v>1.04761904761905</v>
      </c>
      <c r="D51" s="0" t="n">
        <f aca="false">'Severity per Episode'!K56</f>
        <v>1.57071111583261</v>
      </c>
      <c r="E51" s="26" t="n">
        <f aca="false">'Severity per Episode'!L56</f>
        <v>483</v>
      </c>
      <c r="H51" s="26"/>
      <c r="I51" s="26" t="n">
        <f aca="false">'Severity per Episode'!W56</f>
        <v>235</v>
      </c>
      <c r="J51" s="98" t="n">
        <f aca="false">C51/$F50*100</f>
        <v>91.1971162967179</v>
      </c>
      <c r="K51" s="96" t="n">
        <f aca="false">D51/$F50*100</f>
        <v>136.733218649173</v>
      </c>
      <c r="L51" s="5" t="n">
        <f aca="false">E51</f>
        <v>483</v>
      </c>
      <c r="M51" s="5"/>
      <c r="N51" s="96"/>
      <c r="O51" s="5"/>
      <c r="P51" s="5" t="n">
        <f aca="false">I51</f>
        <v>235</v>
      </c>
    </row>
    <row r="52" customFormat="false" ht="14.1" hidden="false" customHeight="true" outlineLevel="0" collapsed="false">
      <c r="L52" s="98"/>
      <c r="M52" s="96"/>
      <c r="N52" s="5"/>
      <c r="O52" s="5"/>
      <c r="P52" s="98"/>
      <c r="Q52" s="96"/>
      <c r="R52" s="5"/>
    </row>
    <row r="53" customFormat="false" ht="14.1" hidden="false" customHeight="true" outlineLevel="0" collapsed="false">
      <c r="B53" s="0" t="str">
        <f aca="false">'Severity per Episode'!B58</f>
        <v>Anderson 1975 tablet</v>
      </c>
      <c r="C53" s="0" t="n">
        <f aca="false">'Severity per Episode'!H58</f>
        <v>0.835915492957747</v>
      </c>
      <c r="D53" s="0" t="n">
        <f aca="false">'Severity per Episode'!K58</f>
        <v>1.22474487139159</v>
      </c>
      <c r="E53" s="26" t="n">
        <f aca="false">'Severity per Episode'!L58</f>
        <v>213</v>
      </c>
      <c r="F53" s="0" t="n">
        <f aca="false">'Severity per Episode'!R58</f>
        <v>1.10349554489376</v>
      </c>
      <c r="G53" s="0" t="n">
        <f aca="false">'Severity per Episode'!U58</f>
        <v>1.68947318616401</v>
      </c>
      <c r="H53" s="26" t="n">
        <f aca="false">'Severity per Episode'!V58</f>
        <v>213.014</v>
      </c>
      <c r="I53" s="26" t="n">
        <f aca="false">'Severity per Episode'!W58</f>
        <v>107</v>
      </c>
      <c r="J53" s="98" t="n">
        <f aca="false">C53/$F53*100</f>
        <v>75.7515965357362</v>
      </c>
      <c r="K53" s="96" t="n">
        <f aca="false">D53/$F53*100</f>
        <v>110.987749525486</v>
      </c>
      <c r="L53" s="5" t="n">
        <f aca="false">E53</f>
        <v>213</v>
      </c>
      <c r="M53" s="5" t="n">
        <f aca="false">F53/$F53*100</f>
        <v>100</v>
      </c>
      <c r="N53" s="96" t="n">
        <f aca="false">G53/$F53*100</f>
        <v>153.101948982192</v>
      </c>
      <c r="O53" s="5" t="n">
        <f aca="false">H53</f>
        <v>213.014</v>
      </c>
      <c r="P53" s="5" t="n">
        <f aca="false">I53</f>
        <v>107</v>
      </c>
      <c r="Q53" s="96"/>
      <c r="R53" s="5"/>
    </row>
    <row r="54" customFormat="false" ht="14.1" hidden="false" customHeight="true" outlineLevel="0" collapsed="false">
      <c r="B54" s="0" t="str">
        <f aca="false">'Severity per Episode'!B59</f>
        <v>Anderson 1975a capsule</v>
      </c>
      <c r="C54" s="0" t="n">
        <f aca="false">'Severity per Episode'!H59</f>
        <v>0.885090909090909</v>
      </c>
      <c r="D54" s="0" t="n">
        <f aca="false">'Severity per Episode'!K59</f>
        <v>1.32703021445732</v>
      </c>
      <c r="E54" s="26" t="n">
        <f aca="false">'Severity per Episode'!L59</f>
        <v>209</v>
      </c>
      <c r="F54" s="0" t="n">
        <f aca="false">'Severity per Episode'!R59</f>
        <v>0</v>
      </c>
      <c r="G54" s="0" t="n">
        <f aca="false">'Severity per Episode'!U59</f>
        <v>0</v>
      </c>
      <c r="H54" s="26" t="n">
        <f aca="false">'Severity per Episode'!V59</f>
        <v>0</v>
      </c>
      <c r="I54" s="26" t="n">
        <f aca="false">'Severity per Episode'!W59</f>
        <v>106</v>
      </c>
      <c r="J54" s="98" t="n">
        <f aca="false">C54/$F53*100</f>
        <v>80.2079277244495</v>
      </c>
      <c r="K54" s="96" t="n">
        <f aca="false">D54/$F53*100</f>
        <v>120.256961670387</v>
      </c>
      <c r="L54" s="5" t="n">
        <f aca="false">E54</f>
        <v>209</v>
      </c>
      <c r="M54" s="5"/>
      <c r="N54" s="96"/>
      <c r="O54" s="5"/>
      <c r="P54" s="5" t="n">
        <f aca="false">I54</f>
        <v>106</v>
      </c>
      <c r="Q54" s="96"/>
      <c r="R54" s="5"/>
    </row>
    <row r="55" customFormat="false" ht="14.1" hidden="false" customHeight="true" outlineLevel="0" collapsed="false">
      <c r="E55" s="26"/>
      <c r="H55" s="26"/>
      <c r="J55" s="98"/>
      <c r="K55" s="96"/>
      <c r="L55" s="5"/>
      <c r="M55" s="5"/>
      <c r="N55" s="96"/>
      <c r="O55" s="5"/>
    </row>
    <row r="56" customFormat="false" ht="14.1" hidden="false" customHeight="true" outlineLevel="0" collapsed="false">
      <c r="B56" s="0" t="str">
        <f aca="false">'Severity per Episode'!B61</f>
        <v>Craig 1977</v>
      </c>
      <c r="C56" s="0" t="n">
        <f aca="false">'Severity per Episode'!H61</f>
        <v>0.426666666666667</v>
      </c>
      <c r="D56" s="0" t="n">
        <f aca="false">'Severity per Episode'!K61</f>
        <v>0.777071527055856</v>
      </c>
      <c r="E56" s="26" t="n">
        <f aca="false">'Severity per Episode'!L61</f>
        <v>30</v>
      </c>
      <c r="F56" s="0" t="n">
        <f aca="false">'Severity per Episode'!R61</f>
        <v>0.672222222222222</v>
      </c>
      <c r="G56" s="0" t="n">
        <f aca="false">'Severity per Episode'!U61</f>
        <v>1.07614509312801</v>
      </c>
      <c r="H56" s="26" t="n">
        <f aca="false">'Severity per Episode'!V61</f>
        <v>36</v>
      </c>
      <c r="J56" s="98" t="n">
        <f aca="false">C56/$F56*100</f>
        <v>63.4710743801653</v>
      </c>
      <c r="K56" s="96" t="n">
        <f aca="false">D56/$F56*100</f>
        <v>115.597417247979</v>
      </c>
      <c r="L56" s="5" t="n">
        <f aca="false">E56</f>
        <v>30</v>
      </c>
      <c r="M56" s="5" t="n">
        <f aca="false">F56/$F56*100</f>
        <v>100</v>
      </c>
      <c r="N56" s="96" t="n">
        <f aca="false">G56/$F56*100</f>
        <v>160.087699804167</v>
      </c>
      <c r="O56" s="5" t="n">
        <f aca="false">H56</f>
        <v>36</v>
      </c>
    </row>
    <row r="57" customFormat="false" ht="14.1" hidden="false" customHeight="true" outlineLevel="0" collapsed="false">
      <c r="E57" s="26"/>
      <c r="H57" s="26"/>
      <c r="J57" s="98"/>
      <c r="K57" s="96"/>
      <c r="L57" s="5"/>
      <c r="M57" s="5"/>
      <c r="N57" s="96"/>
      <c r="O57" s="5"/>
    </row>
    <row r="58" customFormat="false" ht="14.1" hidden="false" customHeight="true" outlineLevel="0" collapsed="false">
      <c r="B58" s="0" t="str">
        <f aca="false">'Severity per Episode'!B63</f>
        <v>Tyrrell 1977 (Males)</v>
      </c>
      <c r="C58" s="0" t="n">
        <f aca="false">'Severity per Episode'!H63</f>
        <v>0.46</v>
      </c>
      <c r="D58" s="0" t="n">
        <f aca="false">'Severity per Episode'!K63</f>
        <v>1.22</v>
      </c>
      <c r="E58" s="26" t="n">
        <f aca="false">'Severity per Episode'!L63</f>
        <v>147</v>
      </c>
      <c r="F58" s="0" t="n">
        <f aca="false">'Severity per Episode'!R63</f>
        <v>0.46</v>
      </c>
      <c r="G58" s="0" t="n">
        <f aca="false">'Severity per Episode'!U63</f>
        <v>1.19</v>
      </c>
      <c r="H58" s="26" t="n">
        <f aca="false">'Severity per Episode'!V63</f>
        <v>184</v>
      </c>
      <c r="J58" s="98" t="n">
        <f aca="false">C58/$F58*100</f>
        <v>100</v>
      </c>
      <c r="K58" s="96" t="n">
        <f aca="false">D58/$F58*100</f>
        <v>265.217391304348</v>
      </c>
      <c r="L58" s="5" t="n">
        <f aca="false">E58</f>
        <v>147</v>
      </c>
      <c r="M58" s="5" t="n">
        <f aca="false">F58/$F58*100</f>
        <v>100</v>
      </c>
      <c r="N58" s="96" t="n">
        <f aca="false">G58/$F58*100</f>
        <v>258.695652173913</v>
      </c>
      <c r="O58" s="5" t="n">
        <f aca="false">H58</f>
        <v>184</v>
      </c>
    </row>
    <row r="59" customFormat="false" ht="14.1" hidden="false" customHeight="true" outlineLevel="0" collapsed="false">
      <c r="B59" s="0" t="str">
        <f aca="false">'Severity per Episode'!B64</f>
        <v>Tyrrell 1977a (Females)</v>
      </c>
      <c r="C59" s="0" t="n">
        <f aca="false">'Severity per Episode'!H64</f>
        <v>1.03</v>
      </c>
      <c r="D59" s="0" t="n">
        <f aca="false">'Severity per Episode'!K64</f>
        <v>2.19</v>
      </c>
      <c r="E59" s="26" t="n">
        <f aca="false">'Severity per Episode'!L64</f>
        <v>127</v>
      </c>
      <c r="F59" s="0" t="n">
        <f aca="false">'Severity per Episode'!R64</f>
        <v>1.07</v>
      </c>
      <c r="G59" s="0" t="n">
        <f aca="false">'Severity per Episode'!U64</f>
        <v>2.72</v>
      </c>
      <c r="H59" s="26" t="n">
        <f aca="false">'Severity per Episode'!V64</f>
        <v>145</v>
      </c>
      <c r="J59" s="98" t="n">
        <f aca="false">C59/$F59*100</f>
        <v>96.2616822429907</v>
      </c>
      <c r="K59" s="96" t="n">
        <f aca="false">D59/$F59*100</f>
        <v>204.672897196262</v>
      </c>
      <c r="L59" s="5" t="n">
        <f aca="false">E59</f>
        <v>127</v>
      </c>
      <c r="M59" s="5" t="n">
        <f aca="false">F59/$F59*100</f>
        <v>100</v>
      </c>
      <c r="N59" s="96" t="n">
        <f aca="false">G59/$F59*100</f>
        <v>254.205607476635</v>
      </c>
      <c r="O59" s="5" t="n">
        <f aca="false">H59</f>
        <v>145</v>
      </c>
    </row>
    <row r="60" customFormat="false" ht="14.1" hidden="false" customHeight="true" outlineLevel="0" collapsed="false">
      <c r="E60" s="26"/>
      <c r="H60" s="26"/>
      <c r="J60" s="98"/>
      <c r="K60" s="96"/>
      <c r="L60" s="5"/>
      <c r="M60" s="5"/>
      <c r="N60" s="96"/>
      <c r="O60" s="5"/>
    </row>
    <row r="61" customFormat="false" ht="14.1" hidden="false" customHeight="true" outlineLevel="0" collapsed="false">
      <c r="C61" s="0" t="str">
        <f aca="false">'Severity per Episode'!H66</f>
        <v>score</v>
      </c>
      <c r="E61" s="26"/>
      <c r="H61" s="26"/>
      <c r="J61" s="98"/>
      <c r="K61" s="96"/>
      <c r="L61" s="5"/>
      <c r="M61" s="5"/>
      <c r="N61" s="96"/>
      <c r="O61" s="5"/>
    </row>
    <row r="62" customFormat="false" ht="14.1" hidden="false" customHeight="true" outlineLevel="0" collapsed="false">
      <c r="E62" s="26"/>
      <c r="H62" s="26"/>
      <c r="J62" s="98"/>
      <c r="K62" s="96"/>
      <c r="L62" s="5"/>
      <c r="M62" s="5"/>
      <c r="N62" s="96"/>
      <c r="O62" s="5"/>
    </row>
    <row r="63" customFormat="false" ht="14.1" hidden="false" customHeight="true" outlineLevel="0" collapsed="false">
      <c r="B63" s="0" t="str">
        <f aca="false">'Severity per Episode'!B68</f>
        <v>Audera 2001 (1 g/day)</v>
      </c>
      <c r="C63" s="0" t="n">
        <f aca="false">'Severity per Episode'!H68</f>
        <v>22.1</v>
      </c>
      <c r="D63" s="0" t="n">
        <f aca="false">'Severity per Episode'!K68</f>
        <v>13.8162426895837</v>
      </c>
      <c r="E63" s="26" t="n">
        <f aca="false">'Severity per Episode'!L68</f>
        <v>47</v>
      </c>
      <c r="F63" s="0" t="n">
        <f aca="false">'Severity per Episode'!R68</f>
        <v>20.2</v>
      </c>
      <c r="G63" s="0" t="n">
        <f aca="false">'Severity per Episode'!U68</f>
        <v>12.3993763362395</v>
      </c>
      <c r="H63" s="26" t="n">
        <f aca="false">'Severity per Episode'!V68</f>
        <v>42</v>
      </c>
      <c r="I63" s="26" t="n">
        <f aca="false">'Severity per Episode'!W68</f>
        <v>20.3505154639175</v>
      </c>
      <c r="J63" s="98" t="n">
        <f aca="false">C63/$F63*100</f>
        <v>109.405940594059</v>
      </c>
      <c r="K63" s="96" t="n">
        <f aca="false">D63/$F63*100</f>
        <v>68.3972410375432</v>
      </c>
      <c r="L63" s="5" t="n">
        <f aca="false">E63</f>
        <v>47</v>
      </c>
      <c r="M63" s="5" t="n">
        <f aca="false">F63/$F63*100</f>
        <v>100</v>
      </c>
      <c r="N63" s="96" t="n">
        <f aca="false">G63/$F63*100</f>
        <v>61.3830511695026</v>
      </c>
      <c r="O63" s="5" t="n">
        <f aca="false">H63</f>
        <v>42</v>
      </c>
      <c r="P63" s="5" t="n">
        <f aca="false">I63</f>
        <v>20.3505154639175</v>
      </c>
    </row>
    <row r="64" customFormat="false" ht="14.1" hidden="false" customHeight="true" outlineLevel="0" collapsed="false">
      <c r="B64" s="0" t="str">
        <f aca="false">'Severity per Episode'!B69</f>
        <v>Audera 2001a (3 g/day)</v>
      </c>
      <c r="C64" s="0" t="n">
        <f aca="false">'Severity per Episode'!H69</f>
        <v>23</v>
      </c>
      <c r="D64" s="0" t="n">
        <f aca="false">'Severity per Episode'!K69</f>
        <v>13.1680599557699</v>
      </c>
      <c r="E64" s="26" t="n">
        <f aca="false">'Severity per Episode'!L69</f>
        <v>50</v>
      </c>
      <c r="H64" s="26"/>
      <c r="I64" s="26" t="n">
        <f aca="false">'Severity per Episode'!W69</f>
        <v>21.6494845360825</v>
      </c>
      <c r="J64" s="98" t="n">
        <f aca="false">C64/$F63*100</f>
        <v>113.861386138614</v>
      </c>
      <c r="K64" s="96" t="n">
        <f aca="false">D64/$F63*100</f>
        <v>65.1884156226232</v>
      </c>
      <c r="L64" s="5" t="n">
        <f aca="false">E64</f>
        <v>50</v>
      </c>
      <c r="M64" s="5"/>
      <c r="N64" s="96"/>
      <c r="O64" s="5" t="n">
        <f aca="false">H64</f>
        <v>0</v>
      </c>
      <c r="P64" s="5" t="n">
        <f aca="false">I64</f>
        <v>21.6494845360825</v>
      </c>
    </row>
  </sheetData>
  <mergeCells count="4">
    <mergeCell ref="C6:E6"/>
    <mergeCell ref="F6:H6"/>
    <mergeCell ref="J6:L6"/>
    <mergeCell ref="M6:O6"/>
  </mergeCells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23" activeCellId="0" sqref="B23"/>
    </sheetView>
  </sheetViews>
  <sheetFormatPr defaultRowHeight="12.8"/>
  <cols>
    <col collapsed="false" hidden="false" max="1" min="1" style="0" width="18.3061224489796"/>
    <col collapsed="false" hidden="false" max="2" min="2" style="0" width="15.6836734693878"/>
    <col collapsed="false" hidden="false" max="3" min="3" style="0" width="17.6479591836735"/>
    <col collapsed="false" hidden="false" max="1025" min="4" style="0" width="11.5204081632653"/>
  </cols>
  <sheetData>
    <row r="1" customFormat="false" ht="14.1" hidden="false" customHeight="false" outlineLevel="0" collapsed="false"/>
    <row r="2" customFormat="false" ht="14.1" hidden="false" customHeight="false" outlineLevel="0" collapsed="false">
      <c r="C2" s="6"/>
      <c r="D2" s="6" t="s">
        <v>512</v>
      </c>
      <c r="E2" s="6"/>
      <c r="F2" s="6" t="s">
        <v>408</v>
      </c>
    </row>
    <row r="3" customFormat="false" ht="14.1" hidden="false" customHeight="false" outlineLevel="0" collapsed="false">
      <c r="C3" s="6"/>
      <c r="D3" s="6"/>
      <c r="E3" s="6"/>
      <c r="F3" s="6"/>
    </row>
    <row r="4" customFormat="false" ht="14.1" hidden="false" customHeight="false" outlineLevel="0" collapsed="false">
      <c r="C4" s="6"/>
      <c r="D4" s="6"/>
      <c r="E4" s="6"/>
      <c r="F4" s="6"/>
    </row>
    <row r="5" customFormat="false" ht="14.1" hidden="false" customHeight="false" outlineLevel="0" collapsed="false">
      <c r="B5" s="0" t="s">
        <v>190</v>
      </c>
      <c r="C5" s="0" t="s">
        <v>513</v>
      </c>
      <c r="D5" s="0" t="n">
        <v>24.48</v>
      </c>
      <c r="E5" s="0" t="n">
        <v>2</v>
      </c>
      <c r="F5" s="107" t="n">
        <f aca="false">CHIDIST(D5,E5)</f>
        <v>4.83320862143726E-006</v>
      </c>
      <c r="G5" s="108" t="n">
        <f aca="false">F5</f>
        <v>4.83320862143726E-006</v>
      </c>
    </row>
    <row r="6" customFormat="false" ht="14.1" hidden="false" customHeight="false" outlineLevel="0" collapsed="false">
      <c r="D6" s="0" t="n">
        <v>24.94</v>
      </c>
      <c r="E6" s="0" t="n">
        <v>2</v>
      </c>
      <c r="F6" s="107" t="n">
        <f aca="false">CHIDIST(D6,E6)</f>
        <v>3.84014665764072E-006</v>
      </c>
      <c r="G6" s="108" t="n">
        <f aca="false">F6</f>
        <v>3.84014665764072E-006</v>
      </c>
    </row>
    <row r="7" customFormat="false" ht="14.1" hidden="false" customHeight="false" outlineLevel="0" collapsed="false">
      <c r="F7" s="107"/>
      <c r="G7" s="108"/>
    </row>
    <row r="8" customFormat="false" ht="14.1" hidden="false" customHeight="false" outlineLevel="0" collapsed="false">
      <c r="C8" s="6" t="s">
        <v>514</v>
      </c>
    </row>
    <row r="9" customFormat="false" ht="14.1" hidden="false" customHeight="false" outlineLevel="0" collapsed="false">
      <c r="B9" s="0" t="s">
        <v>181</v>
      </c>
      <c r="C9" s="0" t="n">
        <v>5.13</v>
      </c>
      <c r="D9" s="0" t="n">
        <f aca="false">C9*C9</f>
        <v>26.3169</v>
      </c>
      <c r="E9" s="0" t="n">
        <v>1</v>
      </c>
      <c r="F9" s="107" t="n">
        <f aca="false">CHIDIST(D9,E9)</f>
        <v>2.89742178605017E-007</v>
      </c>
    </row>
    <row r="10" customFormat="false" ht="14.1" hidden="false" customHeight="false" outlineLevel="0" collapsed="false">
      <c r="F10" s="107"/>
    </row>
    <row r="11" customFormat="false" ht="14.1" hidden="false" customHeight="false" outlineLevel="0" collapsed="false">
      <c r="B11" s="0" t="s">
        <v>515</v>
      </c>
      <c r="C11" s="0" t="n">
        <v>5.69</v>
      </c>
      <c r="D11" s="0" t="n">
        <f aca="false">C11*C11</f>
        <v>32.3761</v>
      </c>
      <c r="E11" s="0" t="n">
        <v>1</v>
      </c>
      <c r="F11" s="107" t="n">
        <f aca="false">CHIDIST(D11,E11)</f>
        <v>1.27039371865439E-008</v>
      </c>
    </row>
    <row r="12" customFormat="false" ht="14.1" hidden="false" customHeight="false" outlineLevel="0" collapsed="false">
      <c r="F12" s="107"/>
    </row>
    <row r="13" customFormat="false" ht="14.1" hidden="false" customHeight="false" outlineLevel="0" collapsed="false">
      <c r="F13" s="107"/>
    </row>
    <row r="14" customFormat="false" ht="14.1" hidden="false" customHeight="false" outlineLevel="0" collapsed="false">
      <c r="F14" s="107"/>
    </row>
    <row r="15" customFormat="false" ht="14.1" hidden="false" customHeight="false" outlineLevel="0" collapsed="false">
      <c r="B15" s="0" t="s">
        <v>516</v>
      </c>
      <c r="C15" s="0" t="n">
        <v>4</v>
      </c>
      <c r="D15" s="0" t="n">
        <f aca="false">C15*C15</f>
        <v>16</v>
      </c>
      <c r="E15" s="0" t="n">
        <v>1</v>
      </c>
      <c r="F15" s="107" t="n">
        <f aca="false">CHIDIST(D15,E15)</f>
        <v>6.33424836662399E-005</v>
      </c>
    </row>
    <row r="16" customFormat="false" ht="14.1" hidden="false" customHeight="false" outlineLevel="0" collapsed="false">
      <c r="B16" s="0" t="s">
        <v>517</v>
      </c>
      <c r="C16" s="0" t="n">
        <v>4.2</v>
      </c>
      <c r="D16" s="0" t="n">
        <f aca="false">C16*C16</f>
        <v>17.64</v>
      </c>
      <c r="E16" s="0" t="n">
        <v>1</v>
      </c>
      <c r="F16" s="107" t="n">
        <f aca="false">CHIDIST(D16,E16)</f>
        <v>2.66914980318127E-005</v>
      </c>
    </row>
    <row r="17" customFormat="false" ht="14.1" hidden="false" customHeight="false" outlineLevel="0" collapsed="false">
      <c r="F17" s="107"/>
    </row>
    <row r="18" customFormat="false" ht="14.1" hidden="false" customHeight="false" outlineLevel="0" collapsed="false">
      <c r="B18" s="0" t="s">
        <v>518</v>
      </c>
      <c r="C18" s="0" t="n">
        <v>4.13</v>
      </c>
      <c r="D18" s="0" t="n">
        <f aca="false">C18*C18</f>
        <v>17.0569</v>
      </c>
      <c r="E18" s="0" t="n">
        <v>1</v>
      </c>
      <c r="F18" s="107" t="n">
        <f aca="false">CHIDIST(D18,E18)</f>
        <v>3.62763234362618E-005</v>
      </c>
    </row>
    <row r="19" customFormat="false" ht="14.1" hidden="false" customHeight="false" outlineLevel="0" collapsed="false">
      <c r="B19" s="0" t="s">
        <v>519</v>
      </c>
      <c r="C19" s="0" t="n">
        <v>3.79</v>
      </c>
      <c r="D19" s="0" t="n">
        <f aca="false">C19*C19</f>
        <v>14.3641</v>
      </c>
      <c r="E19" s="0" t="n">
        <v>1</v>
      </c>
      <c r="F19" s="107" t="n">
        <f aca="false">CHIDIST(D19,E19)</f>
        <v>0.000150647284757367</v>
      </c>
    </row>
    <row r="20" customFormat="false" ht="14.1" hidden="false" customHeight="false" outlineLevel="0" collapsed="false">
      <c r="F20" s="107"/>
    </row>
    <row r="21" customFormat="false" ht="14.1" hidden="false" customHeight="false" outlineLevel="0" collapsed="false">
      <c r="B21" s="0" t="s">
        <v>520</v>
      </c>
      <c r="C21" s="0" t="n">
        <v>5.16</v>
      </c>
      <c r="D21" s="0" t="n">
        <f aca="false">C21*C21</f>
        <v>26.6256</v>
      </c>
      <c r="E21" s="0" t="n">
        <v>1</v>
      </c>
      <c r="F21" s="107" t="n">
        <f aca="false">CHIDIST(D21,E21)</f>
        <v>2.46949842473033E-007</v>
      </c>
    </row>
    <row r="22" customFormat="false" ht="14.1" hidden="false" customHeight="false" outlineLevel="0" collapsed="false">
      <c r="F22" s="107"/>
    </row>
    <row r="23" customFormat="false" ht="14.1" hidden="false" customHeight="false" outlineLevel="0" collapsed="false">
      <c r="F23" s="107"/>
    </row>
    <row r="24" customFormat="false" ht="14.1" hidden="false" customHeight="false" outlineLevel="0" collapsed="false">
      <c r="F24" s="107"/>
    </row>
    <row r="25" customFormat="false" ht="14.1" hidden="false" customHeight="false" outlineLevel="0" collapsed="false">
      <c r="B25" s="109" t="s">
        <v>442</v>
      </c>
      <c r="C25" s="0" t="n">
        <v>1.96</v>
      </c>
      <c r="D25" s="0" t="n">
        <f aca="false">C25*C25</f>
        <v>3.8416</v>
      </c>
      <c r="E25" s="0" t="n">
        <v>1</v>
      </c>
      <c r="F25" s="107" t="n">
        <f aca="false">CHIDIST(D25,E25)</f>
        <v>0.0499957902964409</v>
      </c>
      <c r="G25" s="72" t="n">
        <f aca="false">F25</f>
        <v>0.0499957902964409</v>
      </c>
    </row>
    <row r="28" customFormat="false" ht="14.1" hidden="false" customHeight="false" outlineLevel="0" collapsed="false">
      <c r="B28" s="5" t="s">
        <v>2</v>
      </c>
    </row>
    <row r="29" customFormat="false" ht="14.1" hidden="false" customHeight="false" outlineLevel="0" collapsed="false">
      <c r="B29" s="12" t="s">
        <v>521</v>
      </c>
      <c r="C29" s="0" t="n">
        <v>3.33</v>
      </c>
      <c r="D29" s="0" t="n">
        <f aca="false">C29*C29</f>
        <v>11.0889</v>
      </c>
      <c r="E29" s="0" t="n">
        <v>1</v>
      </c>
      <c r="F29" s="110" t="n">
        <f aca="false">CHIDIST(D29,E29)</f>
        <v>0.000868459840763311</v>
      </c>
      <c r="G29" s="72"/>
    </row>
    <row r="30" customFormat="false" ht="14.1" hidden="false" customHeight="false" outlineLevel="0" collapsed="false">
      <c r="B30" s="12" t="s">
        <v>522</v>
      </c>
      <c r="C30" s="0" t="n">
        <v>2.45</v>
      </c>
      <c r="D30" s="0" t="n">
        <f aca="false">C30*C30</f>
        <v>6.0025</v>
      </c>
      <c r="E30" s="0" t="n">
        <v>1</v>
      </c>
      <c r="F30" s="110" t="n">
        <f aca="false">CHIDIST(D30,E30)</f>
        <v>0.0142856214705429</v>
      </c>
      <c r="G30" s="72"/>
    </row>
    <row r="31" customFormat="false" ht="14.1" hidden="false" customHeight="false" outlineLevel="0" collapsed="false">
      <c r="B31" s="12" t="s">
        <v>523</v>
      </c>
      <c r="D31" s="0" t="n">
        <v>5.77</v>
      </c>
      <c r="E31" s="0" t="n">
        <v>1</v>
      </c>
      <c r="F31" s="110" t="n">
        <f aca="false">CHIDIST(D31,E31)</f>
        <v>0.0163020345239822</v>
      </c>
    </row>
    <row r="32" customFormat="false" ht="14.1" hidden="false" customHeight="false" outlineLevel="0" collapsed="false">
      <c r="B32" s="12" t="s">
        <v>524</v>
      </c>
      <c r="D32" s="0" t="n">
        <v>5.17</v>
      </c>
      <c r="E32" s="0" t="n">
        <v>1</v>
      </c>
      <c r="F32" s="110" t="n">
        <f aca="false">CHIDIST(D32,E32)</f>
        <v>0.0229802159181749</v>
      </c>
    </row>
    <row r="33" customFormat="false" ht="14.1" hidden="false" customHeight="false" outlineLevel="0" collapsed="false">
      <c r="B33" s="12"/>
      <c r="F33" s="110"/>
    </row>
    <row r="34" customFormat="false" ht="14.1" hidden="false" customHeight="false" outlineLevel="0" collapsed="false">
      <c r="B34" s="6" t="s">
        <v>20</v>
      </c>
      <c r="D34" s="0" t="n">
        <v>6.29</v>
      </c>
      <c r="E34" s="0" t="n">
        <v>1</v>
      </c>
      <c r="F34" s="110" t="n">
        <f aca="false">CHIDIST(D34,E34)</f>
        <v>0.0121421051452018</v>
      </c>
    </row>
    <row r="35" customFormat="false" ht="14.1" hidden="false" customHeight="false" outlineLevel="0" collapsed="false">
      <c r="B35" s="12"/>
      <c r="F35" s="110"/>
    </row>
    <row r="36" customFormat="false" ht="14.1" hidden="false" customHeight="false" outlineLevel="0" collapsed="false">
      <c r="B36" s="12"/>
      <c r="F36" s="110"/>
    </row>
    <row r="37" customFormat="false" ht="14.1" hidden="false" customHeight="false" outlineLevel="0" collapsed="false">
      <c r="B37" s="12"/>
      <c r="F37" s="110"/>
      <c r="K37" s="5" t="s">
        <v>525</v>
      </c>
    </row>
    <row r="38" customFormat="false" ht="14.1" hidden="false" customHeight="false" outlineLevel="0" collapsed="false">
      <c r="B38" s="12"/>
      <c r="F38" s="110"/>
      <c r="K38" s="5" t="s">
        <v>526</v>
      </c>
    </row>
    <row r="39" customFormat="false" ht="14.1" hidden="false" customHeight="false" outlineLevel="0" collapsed="false">
      <c r="B39" s="12"/>
      <c r="F39" s="110"/>
      <c r="K39" s="5" t="s">
        <v>527</v>
      </c>
    </row>
    <row r="40" customFormat="false" ht="14.1" hidden="false" customHeight="false" outlineLevel="0" collapsed="false">
      <c r="G40" s="1"/>
      <c r="H40" s="1"/>
      <c r="I40" s="1"/>
      <c r="J40" s="1"/>
      <c r="K40" s="1"/>
      <c r="L40" s="1"/>
      <c r="M40" s="1"/>
    </row>
    <row r="41" customFormat="false" ht="14.1" hidden="false" customHeight="false" outlineLevel="0" collapsed="false">
      <c r="B41" s="5" t="s">
        <v>528</v>
      </c>
      <c r="G41" s="1"/>
      <c r="H41" s="1"/>
      <c r="I41" s="1"/>
      <c r="J41" s="1"/>
      <c r="K41" s="7" t="s">
        <v>529</v>
      </c>
      <c r="L41" s="1"/>
      <c r="M41" s="1"/>
    </row>
    <row r="42" customFormat="false" ht="14.1" hidden="false" customHeight="false" outlineLevel="0" collapsed="false">
      <c r="B42" s="5" t="s">
        <v>530</v>
      </c>
      <c r="D42" s="12" t="s">
        <v>192</v>
      </c>
      <c r="E42" s="12"/>
      <c r="F42" s="12"/>
      <c r="G42" s="7" t="s">
        <v>193</v>
      </c>
      <c r="H42" s="1"/>
      <c r="I42" s="1"/>
      <c r="J42" s="1"/>
      <c r="K42" s="7" t="s">
        <v>531</v>
      </c>
      <c r="L42" s="1"/>
      <c r="M42" s="1"/>
    </row>
    <row r="43" customFormat="false" ht="14.1" hidden="false" customHeight="false" outlineLevel="0" collapsed="false">
      <c r="D43" s="12" t="s">
        <v>532</v>
      </c>
      <c r="E43" s="12"/>
      <c r="F43" s="12"/>
      <c r="G43" s="7" t="s">
        <v>532</v>
      </c>
      <c r="H43" s="50" t="s">
        <v>411</v>
      </c>
      <c r="I43" s="7" t="s">
        <v>533</v>
      </c>
      <c r="J43" s="1"/>
      <c r="K43" s="7" t="s">
        <v>534</v>
      </c>
      <c r="L43" s="50" t="s">
        <v>411</v>
      </c>
      <c r="M43" s="7" t="s">
        <v>533</v>
      </c>
    </row>
    <row r="44" customFormat="false" ht="14.1" hidden="false" customHeight="false" outlineLevel="0" collapsed="false">
      <c r="B44" s="0" t="n">
        <v>7</v>
      </c>
      <c r="C44" s="0" t="n">
        <v>44</v>
      </c>
      <c r="D44" s="106" t="n">
        <f aca="false">B44/C44</f>
        <v>0.159090909090909</v>
      </c>
      <c r="E44" s="0" t="n">
        <v>19</v>
      </c>
      <c r="F44" s="0" t="n">
        <v>47</v>
      </c>
      <c r="G44" s="111" t="n">
        <f aca="false">E44/F44</f>
        <v>0.404255319148936</v>
      </c>
      <c r="H44" s="111" t="n">
        <f aca="false">G44-D44</f>
        <v>0.245164410058027</v>
      </c>
      <c r="I44" s="34" t="n">
        <f aca="false">1/H44</f>
        <v>4.07889546351085</v>
      </c>
      <c r="J44" s="1"/>
      <c r="K44" s="111" t="n">
        <f aca="false">G44*0.49</f>
        <v>0.198085106382979</v>
      </c>
      <c r="L44" s="111" t="n">
        <f aca="false">G44-K44</f>
        <v>0.206170212765957</v>
      </c>
      <c r="M44" s="34" t="n">
        <f aca="false">1/L44</f>
        <v>4.85036119711042</v>
      </c>
    </row>
    <row r="45" customFormat="false" ht="14.1" hidden="false" customHeight="false" outlineLevel="0" collapsed="false">
      <c r="B45" s="0" t="n">
        <v>6</v>
      </c>
      <c r="C45" s="0" t="n">
        <v>56</v>
      </c>
      <c r="D45" s="106" t="n">
        <f aca="false">B45/C45</f>
        <v>0.107142857142857</v>
      </c>
      <c r="E45" s="0" t="n">
        <v>14</v>
      </c>
      <c r="F45" s="0" t="n">
        <v>56</v>
      </c>
      <c r="G45" s="111" t="n">
        <f aca="false">E45/F45</f>
        <v>0.25</v>
      </c>
      <c r="H45" s="111" t="n">
        <f aca="false">G45-D45</f>
        <v>0.142857142857143</v>
      </c>
      <c r="I45" s="34" t="n">
        <f aca="false">1/H45</f>
        <v>7</v>
      </c>
      <c r="J45" s="1"/>
      <c r="K45" s="111" t="n">
        <f aca="false">G45*0.49</f>
        <v>0.1225</v>
      </c>
      <c r="L45" s="111" t="n">
        <f aca="false">G45-K45</f>
        <v>0.1275</v>
      </c>
      <c r="M45" s="34" t="n">
        <f aca="false">1/L45</f>
        <v>7.84313725490196</v>
      </c>
    </row>
    <row r="46" customFormat="false" ht="14.1" hidden="false" customHeight="false" outlineLevel="0" collapsed="false">
      <c r="B46" s="0" t="n">
        <v>4</v>
      </c>
      <c r="C46" s="0" t="n">
        <v>13</v>
      </c>
      <c r="D46" s="106" t="n">
        <f aca="false">B46/C46</f>
        <v>0.307692307692308</v>
      </c>
      <c r="E46" s="0" t="n">
        <v>13</v>
      </c>
      <c r="F46" s="0" t="n">
        <v>19</v>
      </c>
      <c r="G46" s="111" t="n">
        <f aca="false">E46/F46</f>
        <v>0.68421052631579</v>
      </c>
      <c r="H46" s="111" t="n">
        <f aca="false">G46-D46</f>
        <v>0.376518218623482</v>
      </c>
      <c r="I46" s="34" t="n">
        <f aca="false">1/H46</f>
        <v>2.65591397849462</v>
      </c>
      <c r="J46" s="1"/>
      <c r="K46" s="111" t="n">
        <f aca="false">G46*0.49</f>
        <v>0.335263157894737</v>
      </c>
      <c r="L46" s="111" t="n">
        <f aca="false">G46-K46</f>
        <v>0.348947368421053</v>
      </c>
      <c r="M46" s="34" t="n">
        <f aca="false">1/L46</f>
        <v>2.8657616892911</v>
      </c>
    </row>
    <row r="47" customFormat="false" ht="14.1" hidden="false" customHeight="false" outlineLevel="0" collapsed="false">
      <c r="B47" s="0" t="n">
        <v>14</v>
      </c>
      <c r="C47" s="0" t="n">
        <v>43</v>
      </c>
      <c r="D47" s="106" t="n">
        <f aca="false">B47/C47</f>
        <v>0.325581395348837</v>
      </c>
      <c r="E47" s="0" t="n">
        <v>28</v>
      </c>
      <c r="F47" s="0" t="n">
        <v>41</v>
      </c>
      <c r="G47" s="111" t="n">
        <f aca="false">E47/F47</f>
        <v>0.682926829268293</v>
      </c>
      <c r="H47" s="111" t="n">
        <f aca="false">G47-D47</f>
        <v>0.357345433919455</v>
      </c>
      <c r="I47" s="34" t="n">
        <f aca="false">1/H47</f>
        <v>2.7984126984127</v>
      </c>
      <c r="J47" s="1"/>
      <c r="K47" s="111" t="n">
        <f aca="false">G47*0.49</f>
        <v>0.334634146341463</v>
      </c>
      <c r="L47" s="111" t="n">
        <f aca="false">G47-K47</f>
        <v>0.348292682926829</v>
      </c>
      <c r="M47" s="34" t="n">
        <f aca="false">1/L47</f>
        <v>2.87114845938375</v>
      </c>
    </row>
    <row r="48" customFormat="false" ht="14.1" hidden="false" customHeight="false" outlineLevel="0" collapsed="false">
      <c r="B48" s="0" t="n">
        <v>17</v>
      </c>
      <c r="C48" s="0" t="n">
        <v>139</v>
      </c>
      <c r="D48" s="106" t="n">
        <f aca="false">B48/C48</f>
        <v>0.122302158273381</v>
      </c>
      <c r="E48" s="0" t="n">
        <v>31</v>
      </c>
      <c r="F48" s="0" t="n">
        <v>140</v>
      </c>
      <c r="G48" s="111" t="n">
        <f aca="false">E48/F48</f>
        <v>0.221428571428571</v>
      </c>
      <c r="H48" s="111" t="n">
        <f aca="false">G48-D48</f>
        <v>0.0991264131551901</v>
      </c>
      <c r="I48" s="34" t="n">
        <f aca="false">1/H48</f>
        <v>10.0881285640228</v>
      </c>
      <c r="J48" s="1"/>
      <c r="K48" s="111" t="n">
        <f aca="false">G48*0.49</f>
        <v>0.1085</v>
      </c>
      <c r="L48" s="111" t="n">
        <f aca="false">G48-K48</f>
        <v>0.112928571428571</v>
      </c>
      <c r="M48" s="34" t="n">
        <f aca="false">1/L48</f>
        <v>8.85515496521189</v>
      </c>
    </row>
    <row r="55" customFormat="false" ht="14.1" hidden="false" customHeight="false" outlineLevel="0" collapsed="false">
      <c r="B55" s="4" t="s">
        <v>535</v>
      </c>
      <c r="C55" s="12" t="s">
        <v>536</v>
      </c>
      <c r="D55" s="12" t="s">
        <v>537</v>
      </c>
      <c r="E55" s="0" t="n">
        <v>10.7</v>
      </c>
    </row>
    <row r="56" customFormat="false" ht="14.1" hidden="false" customHeight="false" outlineLevel="0" collapsed="false">
      <c r="B56" s="4" t="s">
        <v>538</v>
      </c>
      <c r="C56" s="0" t="n">
        <v>-0.24</v>
      </c>
      <c r="D56" s="0" t="n">
        <f aca="false">EXP(C56)</f>
        <v>0.786627861066553</v>
      </c>
      <c r="E56" s="0" t="n">
        <f aca="false">D56*E$55</f>
        <v>8.41691811341212</v>
      </c>
      <c r="F56" s="0" t="n">
        <f aca="false">E56-E$55</f>
        <v>-2.28308188658788</v>
      </c>
      <c r="G56" s="0" t="n">
        <v>-2.34</v>
      </c>
    </row>
    <row r="57" customFormat="false" ht="14.1" hidden="false" customHeight="false" outlineLevel="0" collapsed="false">
      <c r="C57" s="0" t="n">
        <v>-1.12</v>
      </c>
      <c r="D57" s="0" t="n">
        <f aca="false">EXP(C57)</f>
        <v>0.326279794623039</v>
      </c>
      <c r="E57" s="0" t="n">
        <f aca="false">D57*E$55</f>
        <v>3.49119380246652</v>
      </c>
      <c r="F57" s="0" t="n">
        <f aca="false">E57-E$55</f>
        <v>-7.20880619753348</v>
      </c>
      <c r="G57" s="0" t="n">
        <v>-8.2</v>
      </c>
    </row>
    <row r="58" customFormat="false" ht="14.1" hidden="false" customHeight="false" outlineLevel="0" collapsed="false">
      <c r="C58" s="0" t="n">
        <v>-0.68</v>
      </c>
      <c r="D58" s="0" t="n">
        <f aca="false">EXP(C58)</f>
        <v>0.50661699236559</v>
      </c>
      <c r="E58" s="0" t="n">
        <f aca="false">D58*E$55</f>
        <v>5.42080181831181</v>
      </c>
      <c r="F58" s="0" t="n">
        <f aca="false">E58-E$55</f>
        <v>-5.27919818168819</v>
      </c>
      <c r="G58" s="0" t="n">
        <v>-5.1</v>
      </c>
    </row>
    <row r="59" customFormat="false" ht="14.1" hidden="false" customHeight="false" outlineLevel="0" collapsed="false">
      <c r="C59" s="0" t="n">
        <f aca="false">(C56+C57)/2</f>
        <v>-0.68</v>
      </c>
    </row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60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20" zoomScaleNormal="120" zoomScalePageLayoutView="100" workbookViewId="0">
      <selection pane="topLeft" activeCell="G1" activeCellId="0" sqref="G1"/>
    </sheetView>
  </sheetViews>
  <sheetFormatPr defaultRowHeight="14.1"/>
  <cols>
    <col collapsed="false" hidden="false" max="1" min="1" style="0" width="11.5204081632653"/>
    <col collapsed="false" hidden="false" max="2" min="2" style="0" width="30.3979591836735"/>
    <col collapsed="false" hidden="false" max="4" min="3" style="0" width="11.5204081632653"/>
    <col collapsed="false" hidden="false" max="5" min="5" style="0" width="15.1989795918367"/>
    <col collapsed="false" hidden="false" max="1025" min="6" style="0" width="11.5204081632653"/>
  </cols>
  <sheetData>
    <row r="2" customFormat="false" ht="14.1" hidden="false" customHeight="false" outlineLevel="0" collapsed="false">
      <c r="C2" s="0" t="s">
        <v>2</v>
      </c>
    </row>
    <row r="5" customFormat="false" ht="14.15" hidden="false" customHeight="false" outlineLevel="0" collapsed="false">
      <c r="C5" s="12" t="s">
        <v>192</v>
      </c>
      <c r="D5" s="12" t="s">
        <v>193</v>
      </c>
    </row>
    <row r="7" customFormat="false" ht="14.1" hidden="false" customHeight="false" outlineLevel="0" collapsed="false">
      <c r="B7" s="0" t="s">
        <v>202</v>
      </c>
      <c r="C7" s="0" t="n">
        <v>407</v>
      </c>
      <c r="D7" s="0" t="n">
        <v>411</v>
      </c>
    </row>
    <row r="9" customFormat="false" ht="14.15" hidden="false" customHeight="false" outlineLevel="0" collapsed="false">
      <c r="B9" s="0" t="s">
        <v>291</v>
      </c>
      <c r="C9" s="110" t="n">
        <v>0.101</v>
      </c>
      <c r="D9" s="110" t="n">
        <v>0.138</v>
      </c>
      <c r="E9" s="0" t="s">
        <v>539</v>
      </c>
    </row>
    <row r="10" customFormat="false" ht="14.1" hidden="false" customHeight="false" outlineLevel="0" collapsed="false">
      <c r="B10" s="0" t="s">
        <v>292</v>
      </c>
      <c r="C10" s="110" t="n">
        <f aca="false">SQRT(C7)*C9</f>
        <v>2.03759834118503</v>
      </c>
      <c r="D10" s="110" t="n">
        <f aca="false">SQRT(D7)*D9</f>
        <v>2.79769262071443</v>
      </c>
    </row>
    <row r="12" customFormat="false" ht="14.15" hidden="false" customHeight="false" outlineLevel="0" collapsed="false">
      <c r="B12" s="0" t="s">
        <v>251</v>
      </c>
      <c r="C12" s="0" t="n">
        <v>1.3</v>
      </c>
      <c r="D12" s="0" t="n">
        <v>1.87</v>
      </c>
    </row>
    <row r="14" customFormat="false" ht="14.15" hidden="false" customHeight="false" outlineLevel="0" collapsed="false">
      <c r="C14" s="72" t="n">
        <f aca="false">C10/C12</f>
        <v>1.5673833393731</v>
      </c>
      <c r="D14" s="72" t="n">
        <f aca="false">D10/D12</f>
        <v>1.49609231054248</v>
      </c>
      <c r="E14" s="0" t="s">
        <v>171</v>
      </c>
    </row>
    <row r="17" customFormat="false" ht="14.15" hidden="false" customHeight="false" outlineLevel="0" collapsed="false">
      <c r="B17" s="0" t="s">
        <v>540</v>
      </c>
      <c r="C17" s="22" t="n">
        <v>1.31</v>
      </c>
      <c r="D17" s="22" t="n">
        <v>2.43</v>
      </c>
    </row>
    <row r="18" customFormat="false" ht="14.1" hidden="false" customHeight="false" outlineLevel="0" collapsed="false">
      <c r="B18" s="0" t="s">
        <v>292</v>
      </c>
      <c r="C18" s="22" t="n">
        <f aca="false">C17*C$14</f>
        <v>2.05327217457876</v>
      </c>
      <c r="D18" s="22" t="n">
        <f aca="false">D17*D$14</f>
        <v>3.63550431461822</v>
      </c>
      <c r="E18" s="0" t="n">
        <v>140</v>
      </c>
      <c r="F18" s="0" t="n">
        <v>148</v>
      </c>
    </row>
    <row r="19" customFormat="false" ht="14.15" hidden="false" customHeight="false" outlineLevel="0" collapsed="false">
      <c r="B19" s="0" t="s">
        <v>541</v>
      </c>
      <c r="C19" s="22" t="n">
        <v>1.3</v>
      </c>
      <c r="D19" s="22" t="n">
        <v>1.56</v>
      </c>
    </row>
    <row r="20" customFormat="false" ht="14.1" hidden="false" customHeight="false" outlineLevel="0" collapsed="false">
      <c r="B20" s="0" t="s">
        <v>292</v>
      </c>
      <c r="C20" s="22" t="n">
        <f aca="false">C19*C$14</f>
        <v>2.03759834118503</v>
      </c>
      <c r="D20" s="22" t="n">
        <f aca="false">D19*D$14</f>
        <v>2.33390400444627</v>
      </c>
      <c r="E20" s="0" t="n">
        <f aca="false">C$7-E18</f>
        <v>267</v>
      </c>
      <c r="F20" s="0" t="n">
        <f aca="false">D$7-F18</f>
        <v>263</v>
      </c>
    </row>
    <row r="22" customFormat="false" ht="14.1" hidden="false" customHeight="false" outlineLevel="0" collapsed="false">
      <c r="C22" s="0" t="n">
        <f aca="false">C17/$D$17*100</f>
        <v>53.9094650205761</v>
      </c>
      <c r="D22" s="0" t="n">
        <f aca="false">D17/$D$17*100</f>
        <v>100</v>
      </c>
    </row>
    <row r="23" customFormat="false" ht="14.1" hidden="false" customHeight="false" outlineLevel="0" collapsed="false">
      <c r="C23" s="0" t="n">
        <f aca="false">C18/$D$17*100</f>
        <v>84.4967973077679</v>
      </c>
      <c r="D23" s="0" t="n">
        <f aca="false">D18/$D$17*100</f>
        <v>149.609231054248</v>
      </c>
    </row>
    <row r="24" customFormat="false" ht="14.1" hidden="false" customHeight="false" outlineLevel="0" collapsed="false">
      <c r="C24" s="0" t="n">
        <f aca="false">C19/$D$19*100</f>
        <v>83.3333333333333</v>
      </c>
      <c r="D24" s="0" t="n">
        <f aca="false">D19/$D$19*100</f>
        <v>100</v>
      </c>
    </row>
    <row r="25" customFormat="false" ht="14.1" hidden="false" customHeight="false" outlineLevel="0" collapsed="false">
      <c r="C25" s="0" t="n">
        <f aca="false">C20/$D$19*100</f>
        <v>130.615278281092</v>
      </c>
      <c r="D25" s="0" t="n">
        <f aca="false">D20/$D$19*100</f>
        <v>149.609231054248</v>
      </c>
    </row>
    <row r="28" customFormat="false" ht="14.15" hidden="false" customHeight="false" outlineLevel="0" collapsed="false">
      <c r="B28" s="0" t="s">
        <v>542</v>
      </c>
      <c r="C28" s="22" t="n">
        <v>1.45</v>
      </c>
      <c r="D28" s="22" t="n">
        <v>1.87</v>
      </c>
    </row>
    <row r="29" customFormat="false" ht="14.1" hidden="false" customHeight="false" outlineLevel="0" collapsed="false">
      <c r="B29" s="0" t="s">
        <v>292</v>
      </c>
      <c r="C29" s="22" t="n">
        <f aca="false">C28*C$14</f>
        <v>2.272705842091</v>
      </c>
      <c r="D29" s="22" t="n">
        <f aca="false">D28*D$14</f>
        <v>2.79769262071443</v>
      </c>
      <c r="E29" s="0" t="n">
        <v>284</v>
      </c>
      <c r="F29" s="0" t="n">
        <v>277</v>
      </c>
    </row>
    <row r="30" customFormat="false" ht="14.15" hidden="false" customHeight="false" outlineLevel="0" collapsed="false">
      <c r="B30" s="0" t="s">
        <v>543</v>
      </c>
      <c r="C30" s="22" t="n">
        <v>0.98</v>
      </c>
      <c r="D30" s="22" t="n">
        <v>1.87</v>
      </c>
    </row>
    <row r="31" customFormat="false" ht="14.1" hidden="false" customHeight="false" outlineLevel="0" collapsed="false">
      <c r="B31" s="0" t="s">
        <v>292</v>
      </c>
      <c r="C31" s="22" t="n">
        <f aca="false">C30*C$14</f>
        <v>1.53603567258564</v>
      </c>
      <c r="D31" s="22" t="n">
        <f aca="false">D30*D$14</f>
        <v>2.79769262071443</v>
      </c>
      <c r="E31" s="0" t="n">
        <f aca="false">C$7-E29</f>
        <v>123</v>
      </c>
      <c r="F31" s="0" t="n">
        <f aca="false">D$7-F29</f>
        <v>134</v>
      </c>
    </row>
    <row r="37" customFormat="false" ht="14.15" hidden="false" customHeight="false" outlineLevel="0" collapsed="false">
      <c r="B37" s="0" t="s">
        <v>540</v>
      </c>
      <c r="C37" s="22" t="n">
        <v>1.3</v>
      </c>
      <c r="D37" s="22" t="n">
        <v>1.5</v>
      </c>
    </row>
    <row r="38" customFormat="false" ht="14.1" hidden="false" customHeight="false" outlineLevel="0" collapsed="false">
      <c r="B38" s="0" t="s">
        <v>292</v>
      </c>
      <c r="C38" s="22" t="n">
        <f aca="false">C37*C$14</f>
        <v>2.03759834118503</v>
      </c>
      <c r="D38" s="22" t="n">
        <f aca="false">D37*D$14</f>
        <v>2.24413846581372</v>
      </c>
      <c r="E38" s="0" t="n">
        <v>211</v>
      </c>
      <c r="F38" s="0" t="n">
        <v>192</v>
      </c>
    </row>
    <row r="39" customFormat="false" ht="14.15" hidden="false" customHeight="false" outlineLevel="0" collapsed="false">
      <c r="B39" s="0" t="s">
        <v>541</v>
      </c>
      <c r="C39" s="22" t="n">
        <v>1.31</v>
      </c>
      <c r="D39" s="22" t="n">
        <v>2.29</v>
      </c>
    </row>
    <row r="40" customFormat="false" ht="14.1" hidden="false" customHeight="false" outlineLevel="0" collapsed="false">
      <c r="B40" s="0" t="s">
        <v>292</v>
      </c>
      <c r="C40" s="22" t="n">
        <f aca="false">C39*C$14</f>
        <v>2.05327217457876</v>
      </c>
      <c r="D40" s="22" t="n">
        <f aca="false">D39*D$14</f>
        <v>3.42605139114228</v>
      </c>
      <c r="E40" s="0" t="n">
        <f aca="false">C$7-E38</f>
        <v>196</v>
      </c>
      <c r="F40" s="0" t="n">
        <f aca="false">D$7-F38</f>
        <v>219</v>
      </c>
    </row>
    <row r="42" customFormat="false" ht="14.1" hidden="false" customHeight="false" outlineLevel="0" collapsed="false">
      <c r="C42" s="0" t="n">
        <f aca="false">C37/$D$37*100</f>
        <v>86.6666666666667</v>
      </c>
      <c r="D42" s="0" t="n">
        <f aca="false">D37/$D$37*100</f>
        <v>100</v>
      </c>
    </row>
    <row r="43" customFormat="false" ht="14.1" hidden="false" customHeight="false" outlineLevel="0" collapsed="false">
      <c r="C43" s="0" t="n">
        <f aca="false">C38/$D$37*100</f>
        <v>135.839889412335</v>
      </c>
      <c r="D43" s="0" t="n">
        <f aca="false">D38/$D$37*100</f>
        <v>149.609231054248</v>
      </c>
    </row>
    <row r="44" customFormat="false" ht="14.1" hidden="false" customHeight="false" outlineLevel="0" collapsed="false">
      <c r="C44" s="0" t="n">
        <f aca="false">C39/$D$39*100</f>
        <v>57.2052401746725</v>
      </c>
      <c r="D44" s="0" t="n">
        <f aca="false">D39/$D$39*100</f>
        <v>100</v>
      </c>
    </row>
    <row r="45" customFormat="false" ht="14.1" hidden="false" customHeight="false" outlineLevel="0" collapsed="false">
      <c r="C45" s="0" t="n">
        <f aca="false">C40/$D$39*100</f>
        <v>89.6625403746183</v>
      </c>
      <c r="D45" s="0" t="n">
        <f aca="false">D40/$D$39*100</f>
        <v>149.609231054248</v>
      </c>
    </row>
    <row r="49" customFormat="false" ht="14.1" hidden="false" customHeight="false" outlineLevel="0" collapsed="false">
      <c r="C49" s="0" t="s">
        <v>2</v>
      </c>
    </row>
    <row r="50" customFormat="false" ht="14.1" hidden="false" customHeight="false" outlineLevel="0" collapsed="false">
      <c r="C50" s="0" t="s">
        <v>544</v>
      </c>
    </row>
    <row r="51" customFormat="false" ht="14.1" hidden="false" customHeight="false" outlineLevel="0" collapsed="false">
      <c r="C51" s="0" t="s">
        <v>9</v>
      </c>
    </row>
    <row r="53" customFormat="false" ht="14.1" hidden="false" customHeight="false" outlineLevel="0" collapsed="false">
      <c r="C53" s="0" t="s">
        <v>2</v>
      </c>
    </row>
    <row r="55" customFormat="false" ht="14.1" hidden="false" customHeight="false" outlineLevel="0" collapsed="false">
      <c r="C55" s="22" t="n">
        <v>5.25</v>
      </c>
      <c r="D55" s="72" t="n">
        <v>0.297</v>
      </c>
      <c r="E55" s="0" t="n">
        <v>407</v>
      </c>
    </row>
    <row r="56" customFormat="false" ht="14.1" hidden="false" customHeight="false" outlineLevel="0" collapsed="false">
      <c r="D56" s="0" t="n">
        <f aca="false">D55*SQRT(E55)</f>
        <v>5.99174957754411</v>
      </c>
    </row>
    <row r="57" customFormat="false" ht="14.1" hidden="false" customHeight="false" outlineLevel="0" collapsed="false">
      <c r="E57" s="0" t="n">
        <f aca="false">D56/C55</f>
        <v>1.14128563381793</v>
      </c>
    </row>
    <row r="58" customFormat="false" ht="14.1" hidden="false" customHeight="false" outlineLevel="0" collapsed="false">
      <c r="C58" s="22" t="n">
        <v>6.02</v>
      </c>
      <c r="D58" s="72" t="n">
        <v>0.284</v>
      </c>
      <c r="E58" s="0" t="n">
        <v>411</v>
      </c>
    </row>
    <row r="59" customFormat="false" ht="14.1" hidden="false" customHeight="false" outlineLevel="0" collapsed="false">
      <c r="D59" s="0" t="n">
        <f aca="false">D58*SQRT(E58)</f>
        <v>5.75757032089058</v>
      </c>
    </row>
    <row r="60" customFormat="false" ht="14.1" hidden="false" customHeight="false" outlineLevel="0" collapsed="false">
      <c r="E60" s="0" t="n">
        <f aca="false">D59/C58</f>
        <v>0.956407030048268</v>
      </c>
    </row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65536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20" zoomScaleNormal="120" zoomScalePageLayoutView="100" workbookViewId="0">
      <selection pane="topLeft" activeCell="E1" activeCellId="0" sqref="E1"/>
    </sheetView>
  </sheetViews>
  <sheetFormatPr defaultRowHeight="14.1"/>
  <cols>
    <col collapsed="false" hidden="false" max="1" min="1" style="0" width="11.5204081632653"/>
    <col collapsed="false" hidden="false" max="2" min="2" style="0" width="21.25"/>
    <col collapsed="false" hidden="false" max="4" min="3" style="0" width="11.5204081632653"/>
    <col collapsed="false" hidden="false" max="5" min="5" style="0" width="15.1989795918367"/>
    <col collapsed="false" hidden="false" max="11" min="6" style="0" width="11.5204081632653"/>
    <col collapsed="false" hidden="false" max="12" min="12" style="1" width="11.5204081632653"/>
    <col collapsed="false" hidden="false" max="1025" min="13" style="0" width="11.5204081632653"/>
  </cols>
  <sheetData>
    <row r="1" customFormat="false" ht="14.1" hidden="false" customHeight="false" outlineLevel="0" collapsed="false">
      <c r="B1" s="1"/>
      <c r="C1" s="1"/>
      <c r="D1" s="1"/>
      <c r="E1" s="10" t="s">
        <v>545</v>
      </c>
      <c r="F1" s="1"/>
      <c r="G1" s="1"/>
      <c r="H1" s="1"/>
      <c r="J1" s="1"/>
      <c r="K1" s="1"/>
      <c r="M1" s="1"/>
    </row>
    <row r="2" customFormat="false" ht="14.1" hidden="false" customHeight="false" outlineLevel="0" collapsed="false">
      <c r="B2" s="1"/>
      <c r="C2" s="1"/>
      <c r="D2" s="1"/>
      <c r="E2" s="7"/>
      <c r="F2" s="1"/>
      <c r="G2" s="1"/>
      <c r="H2" s="1"/>
      <c r="J2" s="1"/>
      <c r="K2" s="1"/>
      <c r="M2" s="1"/>
    </row>
    <row r="3" customFormat="false" ht="14.1" hidden="false" customHeight="false" outlineLevel="0" collapsed="false">
      <c r="B3" s="1"/>
      <c r="C3" s="1"/>
      <c r="D3" s="1"/>
      <c r="E3" s="7" t="s">
        <v>546</v>
      </c>
      <c r="F3" s="1"/>
      <c r="G3" s="1"/>
      <c r="H3" s="1"/>
      <c r="J3" s="1"/>
      <c r="K3" s="1"/>
      <c r="M3" s="1"/>
    </row>
    <row r="4" customFormat="false" ht="14.1" hidden="false" customHeight="false" outlineLevel="0" collapsed="false">
      <c r="E4" s="7"/>
      <c r="F4" s="7" t="s">
        <v>547</v>
      </c>
      <c r="G4" s="7" t="s">
        <v>548</v>
      </c>
      <c r="H4" s="7"/>
      <c r="I4" s="7" t="s">
        <v>549</v>
      </c>
      <c r="J4" s="7"/>
      <c r="K4" s="5"/>
      <c r="L4" s="7"/>
      <c r="M4" s="7"/>
      <c r="N4" s="5"/>
      <c r="O4" s="5"/>
      <c r="P4" s="5"/>
      <c r="Q4" s="5"/>
    </row>
    <row r="5" customFormat="false" ht="14.1" hidden="false" customHeight="false" outlineLevel="0" collapsed="false">
      <c r="B5" s="7" t="s">
        <v>213</v>
      </c>
      <c r="C5" s="7" t="s">
        <v>13</v>
      </c>
      <c r="D5" s="7" t="s">
        <v>13</v>
      </c>
      <c r="E5" s="7"/>
      <c r="F5" s="7" t="s">
        <v>202</v>
      </c>
      <c r="G5" s="7" t="s">
        <v>202</v>
      </c>
      <c r="H5" s="7"/>
      <c r="I5" s="7" t="s">
        <v>550</v>
      </c>
      <c r="J5" s="7"/>
      <c r="K5" s="7"/>
      <c r="L5" s="7"/>
      <c r="M5" s="7"/>
      <c r="N5" s="5"/>
      <c r="O5" s="5"/>
      <c r="P5" s="5"/>
      <c r="Q5" s="5"/>
    </row>
    <row r="6" customFormat="false" ht="14.1" hidden="false" customHeight="false" outlineLevel="0" collapsed="false">
      <c r="B6" s="1" t="n">
        <v>1</v>
      </c>
      <c r="C6" s="1" t="n">
        <v>1</v>
      </c>
      <c r="D6" s="16" t="n">
        <v>4</v>
      </c>
      <c r="E6" s="1"/>
      <c r="F6" s="1" t="n">
        <v>178</v>
      </c>
      <c r="G6" s="1" t="n">
        <v>436</v>
      </c>
      <c r="H6" s="1" t="n">
        <f aca="false">G6-F6</f>
        <v>258</v>
      </c>
      <c r="I6" s="1" t="n">
        <f aca="false">F6/G6</f>
        <v>0.408256880733945</v>
      </c>
      <c r="J6" s="1" t="s">
        <v>551</v>
      </c>
      <c r="K6" s="1"/>
      <c r="M6" s="1"/>
    </row>
    <row r="7" customFormat="false" ht="14.1" hidden="false" customHeight="false" outlineLevel="0" collapsed="false">
      <c r="B7" s="1" t="n">
        <v>2</v>
      </c>
      <c r="C7" s="1" t="n">
        <v>1</v>
      </c>
      <c r="D7" s="1"/>
      <c r="E7" s="1"/>
      <c r="F7" s="1" t="n">
        <v>158</v>
      </c>
      <c r="G7" s="1" t="n">
        <v>414</v>
      </c>
      <c r="H7" s="1" t="n">
        <f aca="false">G7-F7</f>
        <v>256</v>
      </c>
      <c r="I7" s="1" t="n">
        <f aca="false">F7/G7</f>
        <v>0.381642512077295</v>
      </c>
      <c r="J7" s="1" t="n">
        <f aca="false">SUM(F7:F10)</f>
        <v>699</v>
      </c>
      <c r="K7" s="1" t="n">
        <f aca="false">SUM(G7:G10)</f>
        <v>1824</v>
      </c>
      <c r="L7" s="1" t="n">
        <f aca="false">K7-J7</f>
        <v>1125</v>
      </c>
      <c r="M7" s="1" t="n">
        <f aca="false">J7/K7</f>
        <v>0.383223684210526</v>
      </c>
    </row>
    <row r="8" customFormat="false" ht="14.1" hidden="false" customHeight="false" outlineLevel="0" collapsed="false">
      <c r="B8" s="1" t="n">
        <v>3</v>
      </c>
      <c r="C8" s="1" t="n">
        <v>2</v>
      </c>
      <c r="D8" s="1"/>
      <c r="E8" s="1"/>
      <c r="F8" s="1" t="n">
        <v>181</v>
      </c>
      <c r="G8" s="1" t="n">
        <v>465</v>
      </c>
      <c r="H8" s="1" t="n">
        <f aca="false">G8-F8</f>
        <v>284</v>
      </c>
      <c r="I8" s="1" t="n">
        <f aca="false">F8/G8</f>
        <v>0.389247311827957</v>
      </c>
      <c r="J8" s="1"/>
      <c r="K8" s="1"/>
      <c r="M8" s="1"/>
    </row>
    <row r="9" customFormat="false" ht="14.1" hidden="false" customHeight="false" outlineLevel="0" collapsed="false">
      <c r="B9" s="1" t="n">
        <v>4</v>
      </c>
      <c r="C9" s="1" t="n">
        <v>0</v>
      </c>
      <c r="D9" s="1"/>
      <c r="E9" s="1" t="s">
        <v>193</v>
      </c>
      <c r="F9" s="1" t="n">
        <v>143</v>
      </c>
      <c r="G9" s="1" t="n">
        <v>437</v>
      </c>
      <c r="H9" s="1" t="n">
        <f aca="false">G9-F9</f>
        <v>294</v>
      </c>
      <c r="I9" s="1" t="n">
        <f aca="false">F9/G9</f>
        <v>0.327231121281465</v>
      </c>
      <c r="J9" s="1"/>
      <c r="K9" s="1"/>
      <c r="M9" s="1"/>
    </row>
    <row r="10" customFormat="false" ht="14.1" hidden="false" customHeight="false" outlineLevel="0" collapsed="false">
      <c r="B10" s="1" t="n">
        <v>5</v>
      </c>
      <c r="C10" s="1" t="n">
        <v>0.25</v>
      </c>
      <c r="D10" s="1"/>
      <c r="E10" s="1"/>
      <c r="F10" s="1" t="n">
        <v>217</v>
      </c>
      <c r="G10" s="1" t="n">
        <v>508</v>
      </c>
      <c r="H10" s="1" t="n">
        <f aca="false">G10-F10</f>
        <v>291</v>
      </c>
      <c r="I10" s="1" t="n">
        <f aca="false">F10/G10</f>
        <v>0.427165354330709</v>
      </c>
      <c r="J10" s="1" t="s">
        <v>82</v>
      </c>
      <c r="K10" s="1"/>
      <c r="M10" s="1"/>
    </row>
    <row r="11" customFormat="false" ht="14.1" hidden="false" customHeight="false" outlineLevel="0" collapsed="false">
      <c r="B11" s="1"/>
      <c r="C11" s="1"/>
      <c r="D11" s="1"/>
      <c r="E11" s="1"/>
      <c r="F11" s="1"/>
      <c r="G11" s="1"/>
      <c r="H11" s="1"/>
      <c r="I11" s="1"/>
      <c r="J11" s="1" t="n">
        <f aca="false">SUM(F6:F12)</f>
        <v>1041</v>
      </c>
      <c r="K11" s="1" t="n">
        <f aca="false">SUM(G6:G12)</f>
        <v>2677</v>
      </c>
      <c r="L11" s="1" t="n">
        <f aca="false">K11-J11</f>
        <v>1636</v>
      </c>
      <c r="M11" s="1" t="n">
        <f aca="false">J11/K11</f>
        <v>0.388868135973104</v>
      </c>
      <c r="N11" s="0" t="s">
        <v>552</v>
      </c>
    </row>
    <row r="12" customFormat="false" ht="14.1" hidden="false" customHeight="false" outlineLevel="0" collapsed="false">
      <c r="B12" s="1" t="n">
        <v>7</v>
      </c>
      <c r="C12" s="1"/>
      <c r="D12" s="16" t="n">
        <v>4</v>
      </c>
      <c r="E12" s="1"/>
      <c r="F12" s="1" t="n">
        <v>164</v>
      </c>
      <c r="G12" s="1" t="n">
        <v>417</v>
      </c>
      <c r="H12" s="1" t="n">
        <f aca="false">G12-F12</f>
        <v>253</v>
      </c>
      <c r="I12" s="1" t="n">
        <f aca="false">F12/G12</f>
        <v>0.393285371702638</v>
      </c>
      <c r="J12" s="1"/>
      <c r="K12" s="1"/>
      <c r="M12" s="1"/>
      <c r="N12" s="1" t="n">
        <f aca="false">F12+F6</f>
        <v>342</v>
      </c>
      <c r="O12" s="1" t="n">
        <f aca="false">G12+G6</f>
        <v>853</v>
      </c>
      <c r="P12" s="1" t="n">
        <f aca="false">O12-N12</f>
        <v>511</v>
      </c>
      <c r="Q12" s="1" t="n">
        <f aca="false">N12/O12</f>
        <v>0.400937866354045</v>
      </c>
    </row>
    <row r="13" customFormat="false" ht="14.1" hidden="false" customHeight="false" outlineLevel="0" collapsed="false">
      <c r="B13" s="16" t="n">
        <v>8</v>
      </c>
      <c r="C13" s="16"/>
      <c r="D13" s="16" t="n">
        <v>8</v>
      </c>
      <c r="E13" s="1"/>
      <c r="F13" s="16" t="n">
        <v>222</v>
      </c>
      <c r="G13" s="1" t="n">
        <v>483</v>
      </c>
      <c r="H13" s="16" t="n">
        <f aca="false">G13-F13</f>
        <v>261</v>
      </c>
      <c r="I13" s="7" t="n">
        <f aca="false">F13/G13</f>
        <v>0.459627329192547</v>
      </c>
      <c r="J13" s="1"/>
      <c r="K13" s="1"/>
      <c r="M13" s="1"/>
    </row>
    <row r="14" customFormat="false" ht="14.1" hidden="false" customHeight="false" outlineLevel="0" collapsed="false">
      <c r="B14" s="1"/>
      <c r="C14" s="1"/>
      <c r="D14" s="1"/>
      <c r="E14" s="1"/>
      <c r="F14" s="1"/>
      <c r="G14" s="1"/>
      <c r="H14" s="1"/>
      <c r="I14" s="1"/>
      <c r="J14" s="1"/>
      <c r="K14" s="1"/>
      <c r="M14" s="1"/>
    </row>
    <row r="15" customFormat="false" ht="14.1" hidden="false" customHeight="false" outlineLevel="0" collapsed="false">
      <c r="B15" s="1" t="n">
        <v>6</v>
      </c>
      <c r="C15" s="1"/>
      <c r="D15" s="1"/>
      <c r="E15" s="1" t="s">
        <v>193</v>
      </c>
      <c r="F15" s="1" t="n">
        <v>188</v>
      </c>
      <c r="G15" s="1" t="n">
        <v>430</v>
      </c>
      <c r="H15" s="1" t="n">
        <f aca="false">G15-F15</f>
        <v>242</v>
      </c>
      <c r="I15" s="1" t="n">
        <f aca="false">F15/G15</f>
        <v>0.437209302325581</v>
      </c>
      <c r="J15" s="1"/>
      <c r="K15" s="1"/>
      <c r="M15" s="1"/>
    </row>
    <row r="16" customFormat="false" ht="14.1" hidden="false" customHeight="false" outlineLevel="0" collapsed="false">
      <c r="B16" s="1"/>
      <c r="C16" s="1"/>
      <c r="D16" s="1"/>
      <c r="E16" s="1"/>
      <c r="F16" s="1"/>
      <c r="G16" s="1"/>
      <c r="H16" s="1"/>
      <c r="I16" s="1"/>
      <c r="J16" s="1"/>
      <c r="K16" s="1"/>
      <c r="M16" s="1"/>
    </row>
    <row r="17" customFormat="false" ht="14.1" hidden="false" customHeight="false" outlineLevel="0" collapsed="false">
      <c r="B17" s="1"/>
      <c r="C17" s="1"/>
      <c r="D17" s="1"/>
      <c r="E17" s="1"/>
      <c r="F17" s="1"/>
      <c r="G17" s="1"/>
      <c r="H17" s="12" t="s">
        <v>553</v>
      </c>
      <c r="I17" s="36" t="n">
        <f aca="false">I13-I9</f>
        <v>0.132396207911082</v>
      </c>
      <c r="J17" s="1"/>
      <c r="K17" s="1"/>
      <c r="M17" s="1"/>
    </row>
    <row r="18" customFormat="false" ht="14.1" hidden="false" customHeight="false" outlineLevel="0" collapsed="false">
      <c r="B18" s="1"/>
      <c r="C18" s="1"/>
      <c r="D18" s="1"/>
      <c r="E18" s="1"/>
      <c r="F18" s="1"/>
      <c r="G18" s="1"/>
      <c r="H18" s="1" t="s">
        <v>554</v>
      </c>
      <c r="I18" s="1" t="n">
        <f aca="false">1/I17</f>
        <v>7.55308641975309</v>
      </c>
      <c r="J18" s="1"/>
      <c r="K18" s="1"/>
      <c r="M18" s="1"/>
    </row>
    <row r="19" customFormat="false" ht="14.1" hidden="false" customHeight="false" outlineLevel="0" collapsed="false">
      <c r="B19" s="1"/>
      <c r="C19" s="1"/>
      <c r="D19" s="1"/>
      <c r="E19" s="1"/>
      <c r="F19" s="1"/>
      <c r="G19" s="1"/>
      <c r="H19" s="1"/>
      <c r="I19" s="1"/>
      <c r="J19" s="1"/>
      <c r="K19" s="1"/>
      <c r="M19" s="1"/>
    </row>
    <row r="20" customFormat="false" ht="14.1" hidden="false" customHeight="false" outlineLevel="0" collapsed="false">
      <c r="B20" s="1"/>
      <c r="C20" s="1"/>
      <c r="D20" s="1"/>
      <c r="E20" s="1"/>
      <c r="F20" s="1"/>
      <c r="G20" s="1"/>
      <c r="H20" s="12" t="s">
        <v>555</v>
      </c>
      <c r="I20" s="36" t="n">
        <f aca="false">I13-I12</f>
        <v>0.0663419574899087</v>
      </c>
      <c r="J20" s="1"/>
      <c r="K20" s="1"/>
      <c r="M20" s="1"/>
    </row>
    <row r="21" customFormat="false" ht="14.1" hidden="false" customHeight="false" outlineLevel="0" collapsed="false">
      <c r="B21" s="1"/>
      <c r="C21" s="1"/>
      <c r="D21" s="1"/>
      <c r="E21" s="1"/>
      <c r="F21" s="1"/>
      <c r="G21" s="1"/>
      <c r="H21" s="1"/>
      <c r="I21" s="1"/>
      <c r="J21" s="1"/>
      <c r="K21" s="1"/>
      <c r="M21" s="1"/>
    </row>
    <row r="22" customFormat="false" ht="14.1" hidden="false" customHeight="false" outlineLevel="0" collapsed="false">
      <c r="E22" s="5" t="s">
        <v>556</v>
      </c>
    </row>
    <row r="23" customFormat="false" ht="14.3" hidden="false" customHeight="false" outlineLevel="0" collapsed="false">
      <c r="B23" s="93" t="s">
        <v>557</v>
      </c>
      <c r="C23" s="31" t="s">
        <v>76</v>
      </c>
      <c r="D23" s="31"/>
      <c r="E23" s="1"/>
      <c r="F23" s="1"/>
      <c r="G23" s="7" t="s">
        <v>558</v>
      </c>
      <c r="H23" s="1"/>
      <c r="I23" s="1"/>
      <c r="J23" s="1"/>
      <c r="K23" s="1"/>
      <c r="L23" s="1" t="s">
        <v>559</v>
      </c>
      <c r="M23" s="12" t="s">
        <v>288</v>
      </c>
      <c r="N23" s="12" t="s">
        <v>560</v>
      </c>
    </row>
    <row r="24" customFormat="false" ht="14.3" hidden="false" customHeight="false" outlineLevel="0" collapsed="false">
      <c r="B24" s="93" t="s">
        <v>213</v>
      </c>
      <c r="C24" s="93" t="s">
        <v>13</v>
      </c>
      <c r="D24" s="93"/>
      <c r="E24" s="1"/>
      <c r="F24" s="1"/>
      <c r="G24" s="7" t="s">
        <v>561</v>
      </c>
      <c r="H24" s="1"/>
      <c r="I24" s="1"/>
      <c r="J24" s="1"/>
      <c r="K24" s="1"/>
    </row>
    <row r="25" customFormat="false" ht="14.3" hidden="false" customHeight="false" outlineLevel="0" collapsed="false">
      <c r="B25" s="31" t="n">
        <v>1</v>
      </c>
      <c r="C25" s="31" t="n">
        <v>1</v>
      </c>
      <c r="D25" s="31"/>
      <c r="E25" s="1"/>
      <c r="F25" s="1"/>
      <c r="G25" s="1" t="n">
        <v>14</v>
      </c>
      <c r="H25" s="1" t="n">
        <v>277</v>
      </c>
      <c r="I25" s="1"/>
      <c r="J25" s="32" t="s">
        <v>562</v>
      </c>
      <c r="K25" s="1"/>
      <c r="M25" s="0" t="n">
        <v>90</v>
      </c>
      <c r="N25" s="0" t="n">
        <f aca="false">M25*H25</f>
        <v>24930</v>
      </c>
    </row>
    <row r="26" customFormat="false" ht="14.1" hidden="false" customHeight="false" outlineLevel="0" collapsed="false">
      <c r="B26" s="31" t="n">
        <v>2</v>
      </c>
      <c r="C26" s="31" t="n">
        <v>1</v>
      </c>
      <c r="D26" s="31"/>
      <c r="E26" s="1"/>
      <c r="F26" s="1"/>
      <c r="G26" s="1" t="n">
        <v>9</v>
      </c>
      <c r="H26" s="1" t="n">
        <v>275</v>
      </c>
      <c r="I26" s="1"/>
      <c r="J26" s="1"/>
      <c r="K26" s="1"/>
      <c r="M26" s="0" t="n">
        <v>90</v>
      </c>
      <c r="N26" s="0" t="n">
        <f aca="false">M26*H26</f>
        <v>24750</v>
      </c>
    </row>
    <row r="27" customFormat="false" ht="14.1" hidden="false" customHeight="false" outlineLevel="0" collapsed="false">
      <c r="B27" s="31" t="n">
        <v>3</v>
      </c>
      <c r="C27" s="31" t="n">
        <v>2</v>
      </c>
      <c r="D27" s="31"/>
      <c r="E27" s="1"/>
      <c r="F27" s="1"/>
      <c r="G27" s="1" t="n">
        <v>7</v>
      </c>
      <c r="H27" s="1" t="n">
        <v>308</v>
      </c>
      <c r="I27" s="1"/>
      <c r="J27" s="1" t="n">
        <f aca="false">G25+G26+G27</f>
        <v>30</v>
      </c>
      <c r="K27" s="1" t="n">
        <f aca="false">H25+H26+H27</f>
        <v>860</v>
      </c>
      <c r="L27" s="36" t="n">
        <f aca="false">J27/K27</f>
        <v>0.0348837209302326</v>
      </c>
      <c r="M27" s="0" t="n">
        <v>90</v>
      </c>
      <c r="N27" s="0" t="n">
        <f aca="false">M27*H27</f>
        <v>27720</v>
      </c>
    </row>
    <row r="28" customFormat="false" ht="14.3" hidden="false" customHeight="false" outlineLevel="0" collapsed="false">
      <c r="B28" s="31" t="n">
        <v>4</v>
      </c>
      <c r="C28" s="31" t="n">
        <v>0</v>
      </c>
      <c r="D28" s="31"/>
      <c r="E28" s="1" t="s">
        <v>193</v>
      </c>
      <c r="F28" s="1"/>
      <c r="G28" s="1" t="n">
        <v>8</v>
      </c>
      <c r="H28" s="1" t="n">
        <v>285</v>
      </c>
      <c r="I28" s="1"/>
      <c r="J28" s="1"/>
      <c r="K28" s="1"/>
      <c r="L28" s="36"/>
    </row>
    <row r="29" customFormat="false" ht="14.3" hidden="false" customHeight="false" outlineLevel="0" collapsed="false">
      <c r="B29" s="31" t="n">
        <v>5</v>
      </c>
      <c r="C29" s="31" t="n">
        <v>0.25</v>
      </c>
      <c r="D29" s="31"/>
      <c r="E29" s="1"/>
      <c r="F29" s="1"/>
      <c r="G29" s="1"/>
      <c r="H29" s="1" t="n">
        <v>331</v>
      </c>
      <c r="I29" s="1"/>
      <c r="J29" s="32" t="s">
        <v>563</v>
      </c>
      <c r="K29" s="1"/>
      <c r="L29" s="36"/>
    </row>
    <row r="30" customFormat="false" ht="14.1" hidden="false" customHeight="false" outlineLevel="0" collapsed="false">
      <c r="B30" s="31"/>
      <c r="C30" s="31"/>
      <c r="D30" s="31"/>
      <c r="E30" s="1"/>
      <c r="F30" s="1"/>
      <c r="G30" s="1"/>
      <c r="H30" s="1"/>
      <c r="I30" s="1"/>
      <c r="J30" s="1"/>
      <c r="K30" s="1"/>
      <c r="L30" s="36"/>
    </row>
    <row r="31" customFormat="false" ht="14.1" hidden="false" customHeight="false" outlineLevel="0" collapsed="false">
      <c r="B31" s="31" t="n">
        <v>7</v>
      </c>
      <c r="C31" s="31" t="n">
        <v>0</v>
      </c>
      <c r="D31" s="31"/>
      <c r="E31" s="1"/>
      <c r="F31" s="1"/>
      <c r="G31" s="1" t="n">
        <v>6</v>
      </c>
      <c r="H31" s="1" t="n">
        <v>275</v>
      </c>
      <c r="I31" s="1"/>
      <c r="J31" s="1" t="n">
        <f aca="false">G32+G31+G28</f>
        <v>25</v>
      </c>
      <c r="K31" s="1" t="n">
        <f aca="false">H32+H31+H28</f>
        <v>868</v>
      </c>
      <c r="L31" s="36" t="n">
        <f aca="false">J31/K31</f>
        <v>0.0288018433179723</v>
      </c>
    </row>
    <row r="32" customFormat="false" ht="14.1" hidden="false" customHeight="false" outlineLevel="0" collapsed="false">
      <c r="B32" s="31" t="n">
        <v>8</v>
      </c>
      <c r="C32" s="31" t="n">
        <v>0</v>
      </c>
      <c r="D32" s="31"/>
      <c r="E32" s="1"/>
      <c r="F32" s="1"/>
      <c r="G32" s="1" t="n">
        <v>11</v>
      </c>
      <c r="H32" s="1" t="n">
        <v>308</v>
      </c>
      <c r="I32" s="1"/>
      <c r="J32" s="1"/>
      <c r="K32" s="1"/>
    </row>
    <row r="33" customFormat="false" ht="14.1" hidden="false" customHeight="false" outlineLevel="0" collapsed="false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customFormat="false" ht="14.3" hidden="false" customHeight="false" outlineLevel="0" collapsed="false">
      <c r="B34" s="1" t="n">
        <v>6</v>
      </c>
      <c r="C34" s="1"/>
      <c r="D34" s="1"/>
      <c r="E34" s="1" t="s">
        <v>193</v>
      </c>
      <c r="F34" s="1"/>
      <c r="G34" s="1"/>
      <c r="H34" s="1"/>
      <c r="I34" s="1"/>
      <c r="J34" s="1"/>
      <c r="K34" s="1"/>
      <c r="M34" s="6" t="s">
        <v>564</v>
      </c>
      <c r="N34" s="0" t="n">
        <f aca="false">SUM(N25:N32)</f>
        <v>77400</v>
      </c>
    </row>
    <row r="35" customFormat="false" ht="14.3" hidden="false" customHeight="false" outlineLevel="0" collapsed="false">
      <c r="M35" s="6" t="s">
        <v>565</v>
      </c>
      <c r="N35" s="0" t="n">
        <f aca="false">N34/365</f>
        <v>212.054794520548</v>
      </c>
    </row>
    <row r="37" customFormat="false" ht="14.3" hidden="false" customHeight="false" outlineLevel="0" collapsed="false">
      <c r="C37" s="0" t="s">
        <v>566</v>
      </c>
    </row>
    <row r="38" customFormat="false" ht="14.3" hidden="false" customHeight="false" outlineLevel="0" collapsed="false">
      <c r="C38" s="0" t="s">
        <v>567</v>
      </c>
    </row>
    <row r="39" customFormat="false" ht="14.3" hidden="false" customHeight="false" outlineLevel="0" collapsed="false">
      <c r="C39" s="0" t="s">
        <v>568</v>
      </c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37" activeCellId="0" sqref="E37"/>
    </sheetView>
  </sheetViews>
  <sheetFormatPr defaultRowHeight="14.1"/>
  <cols>
    <col collapsed="false" hidden="false" max="1" min="1" style="0" width="11.5204081632653"/>
    <col collapsed="false" hidden="false" max="2" min="2" style="0" width="15.280612244898"/>
    <col collapsed="false" hidden="false" max="5" min="3" style="1" width="11.5204081632653"/>
    <col collapsed="false" hidden="false" max="1025" min="6" style="0" width="11.5204081632653"/>
  </cols>
  <sheetData>
    <row r="1" customFormat="false" ht="14.3" hidden="false" customHeight="false" outlineLevel="0" collapsed="false">
      <c r="B1" s="0" t="s">
        <v>102</v>
      </c>
      <c r="E1" s="1" t="s">
        <v>1</v>
      </c>
    </row>
    <row r="2" customFormat="false" ht="14.3" hidden="false" customHeight="false" outlineLevel="0" collapsed="false">
      <c r="B2" s="0" t="s">
        <v>103</v>
      </c>
      <c r="D2" s="1" t="s">
        <v>1</v>
      </c>
    </row>
    <row r="3" customFormat="false" ht="14.3" hidden="false" customHeight="false" outlineLevel="0" collapsed="false">
      <c r="B3" s="0" t="s">
        <v>104</v>
      </c>
      <c r="C3" s="1" t="s">
        <v>1</v>
      </c>
      <c r="E3" s="1" t="s">
        <v>1</v>
      </c>
    </row>
    <row r="4" customFormat="false" ht="14.3" hidden="false" customHeight="false" outlineLevel="0" collapsed="false">
      <c r="B4" s="0" t="s">
        <v>105</v>
      </c>
      <c r="D4" s="1" t="s">
        <v>1</v>
      </c>
    </row>
    <row r="5" customFormat="false" ht="14.3" hidden="false" customHeight="false" outlineLevel="0" collapsed="false">
      <c r="B5" s="0" t="s">
        <v>106</v>
      </c>
      <c r="C5" s="1" t="s">
        <v>1</v>
      </c>
    </row>
    <row r="6" customFormat="false" ht="14.3" hidden="false" customHeight="false" outlineLevel="0" collapsed="false">
      <c r="B6" s="0" t="s">
        <v>107</v>
      </c>
      <c r="D6" s="1" t="s">
        <v>1</v>
      </c>
    </row>
    <row r="7" customFormat="false" ht="14.3" hidden="false" customHeight="false" outlineLevel="0" collapsed="false">
      <c r="B7" s="0" t="s">
        <v>108</v>
      </c>
      <c r="C7" s="1" t="s">
        <v>1</v>
      </c>
    </row>
    <row r="8" customFormat="false" ht="14.3" hidden="false" customHeight="false" outlineLevel="0" collapsed="false">
      <c r="B8" s="0" t="s">
        <v>109</v>
      </c>
      <c r="F8" s="0" t="s">
        <v>110</v>
      </c>
    </row>
    <row r="9" customFormat="false" ht="14.3" hidden="false" customHeight="false" outlineLevel="0" collapsed="false">
      <c r="B9" s="0" t="s">
        <v>111</v>
      </c>
      <c r="C9" s="1" t="s">
        <v>1</v>
      </c>
    </row>
    <row r="10" customFormat="false" ht="14.3" hidden="false" customHeight="false" outlineLevel="0" collapsed="false">
      <c r="B10" s="0" t="s">
        <v>112</v>
      </c>
      <c r="D10" s="1" t="s">
        <v>1</v>
      </c>
    </row>
    <row r="11" customFormat="false" ht="14.3" hidden="false" customHeight="false" outlineLevel="0" collapsed="false">
      <c r="B11" s="0" t="s">
        <v>113</v>
      </c>
      <c r="C11" s="1" t="s">
        <v>1</v>
      </c>
    </row>
    <row r="12" customFormat="false" ht="14.3" hidden="false" customHeight="false" outlineLevel="0" collapsed="false">
      <c r="B12" s="0" t="s">
        <v>114</v>
      </c>
      <c r="C12" s="1" t="s">
        <v>1</v>
      </c>
    </row>
    <row r="13" customFormat="false" ht="14.3" hidden="false" customHeight="false" outlineLevel="0" collapsed="false">
      <c r="B13" s="0" t="s">
        <v>115</v>
      </c>
      <c r="E13" s="1" t="s">
        <v>1</v>
      </c>
    </row>
    <row r="14" customFormat="false" ht="14.3" hidden="false" customHeight="false" outlineLevel="0" collapsed="false">
      <c r="B14" s="0" t="s">
        <v>116</v>
      </c>
      <c r="D14" s="1" t="s">
        <v>1</v>
      </c>
    </row>
    <row r="15" customFormat="false" ht="14.3" hidden="false" customHeight="false" outlineLevel="0" collapsed="false">
      <c r="B15" s="0" t="s">
        <v>117</v>
      </c>
      <c r="C15" s="1" t="s">
        <v>1</v>
      </c>
    </row>
    <row r="16" customFormat="false" ht="14.3" hidden="false" customHeight="false" outlineLevel="0" collapsed="false">
      <c r="B16" s="0" t="s">
        <v>118</v>
      </c>
      <c r="C16" s="1" t="s">
        <v>1</v>
      </c>
    </row>
    <row r="17" customFormat="false" ht="14.3" hidden="false" customHeight="false" outlineLevel="0" collapsed="false">
      <c r="B17" s="0" t="s">
        <v>119</v>
      </c>
      <c r="F17" s="0" t="s">
        <v>120</v>
      </c>
    </row>
    <row r="18" customFormat="false" ht="14.3" hidden="false" customHeight="false" outlineLevel="0" collapsed="false">
      <c r="B18" s="0" t="s">
        <v>121</v>
      </c>
      <c r="D18" s="1" t="s">
        <v>1</v>
      </c>
    </row>
    <row r="19" customFormat="false" ht="14.3" hidden="false" customHeight="false" outlineLevel="0" collapsed="false">
      <c r="B19" s="0" t="s">
        <v>122</v>
      </c>
      <c r="F19" s="0" t="s">
        <v>123</v>
      </c>
    </row>
    <row r="20" customFormat="false" ht="14.3" hidden="false" customHeight="false" outlineLevel="0" collapsed="false">
      <c r="B20" s="0" t="s">
        <v>124</v>
      </c>
      <c r="C20" s="1" t="s">
        <v>1</v>
      </c>
    </row>
    <row r="21" customFormat="false" ht="14.3" hidden="false" customHeight="false" outlineLevel="0" collapsed="false">
      <c r="B21" s="0" t="s">
        <v>125</v>
      </c>
      <c r="E21" s="1" t="s">
        <v>1</v>
      </c>
    </row>
    <row r="22" customFormat="false" ht="14.3" hidden="false" customHeight="false" outlineLevel="0" collapsed="false">
      <c r="B22" s="0" t="s">
        <v>126</v>
      </c>
      <c r="E22" s="1" t="s">
        <v>1</v>
      </c>
    </row>
    <row r="23" customFormat="false" ht="14.3" hidden="false" customHeight="false" outlineLevel="0" collapsed="false">
      <c r="B23" s="0" t="s">
        <v>127</v>
      </c>
      <c r="D23" s="1" t="s">
        <v>1</v>
      </c>
    </row>
    <row r="24" customFormat="false" ht="14.3" hidden="false" customHeight="false" outlineLevel="0" collapsed="false">
      <c r="B24" s="0" t="s">
        <v>128</v>
      </c>
      <c r="C24" s="1" t="s">
        <v>1</v>
      </c>
    </row>
    <row r="25" customFormat="false" ht="14.3" hidden="false" customHeight="false" outlineLevel="0" collapsed="false">
      <c r="B25" s="0" t="s">
        <v>129</v>
      </c>
      <c r="C25" s="1" t="s">
        <v>1</v>
      </c>
    </row>
    <row r="26" customFormat="false" ht="14.1" hidden="false" customHeight="false" outlineLevel="0" collapsed="false">
      <c r="B26" s="0" t="s">
        <v>130</v>
      </c>
      <c r="C26" s="1" t="s">
        <v>1</v>
      </c>
      <c r="D26" s="1" t="s">
        <v>1</v>
      </c>
    </row>
    <row r="27" customFormat="false" ht="14.1" hidden="false" customHeight="false" outlineLevel="0" collapsed="false">
      <c r="B27" s="0" t="s">
        <v>131</v>
      </c>
      <c r="C27" s="1" t="s">
        <v>1</v>
      </c>
    </row>
    <row r="28" customFormat="false" ht="14.3" hidden="false" customHeight="false" outlineLevel="0" collapsed="false">
      <c r="B28" s="0" t="s">
        <v>132</v>
      </c>
      <c r="E28" s="1" t="s">
        <v>1</v>
      </c>
    </row>
    <row r="29" customFormat="false" ht="14.3" hidden="false" customHeight="false" outlineLevel="0" collapsed="false">
      <c r="B29" s="0" t="s">
        <v>133</v>
      </c>
      <c r="C29" s="1" t="s">
        <v>1</v>
      </c>
    </row>
    <row r="30" customFormat="false" ht="14.3" hidden="false" customHeight="false" outlineLevel="0" collapsed="false">
      <c r="B30" s="0" t="s">
        <v>134</v>
      </c>
      <c r="E30" s="1" t="s">
        <v>1</v>
      </c>
    </row>
    <row r="32" customFormat="false" ht="14.1" hidden="false" customHeight="false" outlineLevel="0" collapsed="false">
      <c r="B32" s="10" t="n">
        <f aca="false">COUNTA(B1:B30)</f>
        <v>30</v>
      </c>
      <c r="C32" s="7" t="n">
        <f aca="false">COUNTA(C1:C30)</f>
        <v>14</v>
      </c>
      <c r="D32" s="7" t="n">
        <f aca="false">COUNTA(D1:D30)</f>
        <v>8</v>
      </c>
      <c r="E32" s="7" t="n">
        <f aca="false">COUNTA(E1:E30)</f>
        <v>7</v>
      </c>
      <c r="F32" s="7" t="n">
        <f aca="false">COUNTA(F1:F30)</f>
        <v>3</v>
      </c>
    </row>
    <row r="33" customFormat="false" ht="14.3" hidden="false" customHeight="false" outlineLevel="0" collapsed="false">
      <c r="B33" s="5" t="s">
        <v>82</v>
      </c>
      <c r="C33" s="1" t="s">
        <v>135</v>
      </c>
      <c r="D33" s="1" t="s">
        <v>136</v>
      </c>
      <c r="E33" s="1" t="s">
        <v>137</v>
      </c>
      <c r="F33" s="0" t="s">
        <v>138</v>
      </c>
    </row>
    <row r="34" customFormat="false" ht="14.3" hidden="false" customHeight="false" outlineLevel="0" collapsed="false">
      <c r="E34" s="1" t="s">
        <v>139</v>
      </c>
    </row>
    <row r="35" customFormat="false" ht="14.3" hidden="false" customHeight="false" outlineLevel="0" collapsed="false">
      <c r="E35" s="1" t="s">
        <v>140</v>
      </c>
    </row>
    <row r="36" customFormat="false" ht="14.3" hidden="false" customHeight="false" outlineLevel="0" collapsed="false">
      <c r="E36" s="1" t="s">
        <v>141</v>
      </c>
    </row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8"/>
  <sheetViews>
    <sheetView windowProtection="false" showFormulas="false" showGridLines="true" showRowColHeaders="true" showZeros="true" rightToLeft="false" tabSelected="false" showOutlineSymbols="true" defaultGridColor="true" view="normal" topLeftCell="A43" colorId="64" zoomScale="120" zoomScaleNormal="120" zoomScalePageLayoutView="100" workbookViewId="0">
      <selection pane="topLeft" activeCell="F108" activeCellId="0" sqref="F108"/>
    </sheetView>
  </sheetViews>
  <sheetFormatPr defaultRowHeight="14.1"/>
  <cols>
    <col collapsed="false" hidden="false" max="2" min="2" style="0" width="19.7448979591837"/>
    <col collapsed="false" hidden="false" max="14" min="14" style="0" width="10.5561224489796"/>
    <col collapsed="false" hidden="false" max="23" min="23" style="1" width="9.05102040816327"/>
    <col collapsed="false" hidden="false" max="24" min="24" style="0" width="16.6683673469388"/>
  </cols>
  <sheetData>
    <row r="1" customFormat="false" ht="15.65" hidden="false" customHeight="false" outlineLevel="0" collapsed="false">
      <c r="B1" s="11" t="s">
        <v>142</v>
      </c>
      <c r="C1" s="4"/>
      <c r="D1" s="4"/>
      <c r="E1" s="4"/>
      <c r="F1" s="4"/>
      <c r="G1" s="4"/>
      <c r="H1" s="4"/>
    </row>
    <row r="3" customFormat="false" ht="14.3" hidden="false" customHeight="false" outlineLevel="0" collapsed="false">
      <c r="A3" s="0" t="s">
        <v>143</v>
      </c>
      <c r="B3" s="0" t="s">
        <v>144</v>
      </c>
      <c r="C3" s="0" t="s">
        <v>76</v>
      </c>
      <c r="D3" s="0" t="s">
        <v>145</v>
      </c>
      <c r="E3" s="0" t="s">
        <v>146</v>
      </c>
      <c r="F3" s="0" t="s">
        <v>147</v>
      </c>
      <c r="L3" s="0" t="s">
        <v>148</v>
      </c>
      <c r="O3" s="0" t="s">
        <v>149</v>
      </c>
    </row>
    <row r="5" customFormat="false" ht="14.1" hidden="false" customHeight="false" outlineLevel="0" collapsed="false">
      <c r="B5" s="5"/>
    </row>
    <row r="6" customFormat="false" ht="14.1" hidden="false" customHeight="false" outlineLevel="0" collapsed="false">
      <c r="A6" s="3" t="n">
        <v>1945</v>
      </c>
      <c r="B6" s="3" t="s">
        <v>17</v>
      </c>
      <c r="D6" s="0" t="n">
        <v>1</v>
      </c>
      <c r="E6" s="4" t="n">
        <v>179</v>
      </c>
      <c r="F6" s="4" t="n">
        <v>119</v>
      </c>
      <c r="G6" s="0" t="n">
        <v>1945</v>
      </c>
      <c r="L6" s="0" t="n">
        <v>1945</v>
      </c>
      <c r="M6" s="0" t="n">
        <f aca="false">SUM(E6:F6)</f>
        <v>298</v>
      </c>
      <c r="P6" s="0" t="n">
        <f aca="false">SUM(E6:F6)</f>
        <v>298</v>
      </c>
      <c r="S6" s="5" t="s">
        <v>150</v>
      </c>
      <c r="U6" s="0" t="s">
        <v>151</v>
      </c>
    </row>
    <row r="7" customFormat="false" ht="14.1" hidden="false" customHeight="false" outlineLevel="0" collapsed="false">
      <c r="E7" s="4"/>
      <c r="F7" s="4"/>
      <c r="R7" s="0" t="n">
        <v>1972</v>
      </c>
      <c r="S7" s="0" t="n">
        <f aca="false">E11</f>
        <v>407</v>
      </c>
      <c r="T7" s="0" t="n">
        <f aca="false">F11</f>
        <v>411</v>
      </c>
      <c r="U7" s="0" t="n">
        <f aca="false">S7+T7</f>
        <v>818</v>
      </c>
    </row>
    <row r="8" customFormat="false" ht="14.15" hidden="false" customHeight="false" outlineLevel="0" collapsed="false">
      <c r="A8" s="0" t="n">
        <v>1961</v>
      </c>
      <c r="B8" s="0" t="s">
        <v>63</v>
      </c>
      <c r="C8" s="0" t="n">
        <v>1</v>
      </c>
      <c r="E8" s="4" t="n">
        <v>139</v>
      </c>
      <c r="F8" s="4" t="n">
        <v>140</v>
      </c>
      <c r="G8" s="0" t="n">
        <v>1961</v>
      </c>
      <c r="H8" s="0" t="n">
        <v>1960</v>
      </c>
      <c r="I8" s="0" t="n">
        <f aca="false">COUNT(A8)</f>
        <v>1</v>
      </c>
      <c r="J8" s="0" t="n">
        <f aca="false">SUM(E8)</f>
        <v>139</v>
      </c>
      <c r="L8" s="0" t="n">
        <v>1960</v>
      </c>
      <c r="M8" s="0" t="n">
        <f aca="false">SUM(E8:F8)</f>
        <v>279</v>
      </c>
      <c r="O8" s="0" t="n">
        <v>1960</v>
      </c>
      <c r="P8" s="0" t="n">
        <f aca="false">SUM(E8:F8)</f>
        <v>279</v>
      </c>
      <c r="R8" s="0" t="n">
        <v>1974</v>
      </c>
      <c r="S8" s="0" t="n">
        <f aca="false">SUM(E16:E20)</f>
        <v>1443</v>
      </c>
      <c r="T8" s="0" t="n">
        <f aca="false">SUM(F16:F20)</f>
        <v>578</v>
      </c>
      <c r="U8" s="0" t="n">
        <f aca="false">S8+T8</f>
        <v>2021</v>
      </c>
    </row>
    <row r="9" customFormat="false" ht="14.15" hidden="false" customHeight="false" outlineLevel="0" collapsed="false">
      <c r="A9" s="0" t="n">
        <v>1967</v>
      </c>
      <c r="B9" s="0" t="s">
        <v>72</v>
      </c>
      <c r="C9" s="0" t="n">
        <v>3</v>
      </c>
      <c r="E9" s="4" t="n">
        <v>47</v>
      </c>
      <c r="F9" s="4" t="n">
        <v>44</v>
      </c>
      <c r="G9" s="0" t="n">
        <v>1967</v>
      </c>
      <c r="H9" s="0" t="n">
        <v>1965</v>
      </c>
      <c r="I9" s="0" t="n">
        <f aca="false">COUNT(A9:A10)</f>
        <v>2</v>
      </c>
      <c r="J9" s="0" t="n">
        <f aca="false">SUM(E9:E10)</f>
        <v>194</v>
      </c>
      <c r="L9" s="0" t="n">
        <v>1962</v>
      </c>
      <c r="M9" s="0" t="n">
        <v>0</v>
      </c>
      <c r="O9" s="0" t="n">
        <v>1965</v>
      </c>
      <c r="P9" s="0" t="n">
        <f aca="false">SUM(E9:F10)</f>
        <v>361</v>
      </c>
      <c r="R9" s="0" t="n">
        <v>1975</v>
      </c>
      <c r="S9" s="0" t="n">
        <f aca="false">SUM(E24:E25)</f>
        <v>302</v>
      </c>
      <c r="T9" s="0" t="n">
        <f aca="false">SUM(F24:F25)</f>
        <v>146</v>
      </c>
      <c r="U9" s="0" t="n">
        <f aca="false">S9+T9</f>
        <v>448</v>
      </c>
      <c r="X9" s="5"/>
    </row>
    <row r="10" customFormat="false" ht="14.15" hidden="false" customHeight="false" outlineLevel="0" collapsed="false">
      <c r="A10" s="0" t="n">
        <v>1968</v>
      </c>
      <c r="B10" s="2" t="s">
        <v>0</v>
      </c>
      <c r="D10" s="0" t="n">
        <v>3</v>
      </c>
      <c r="E10" s="4" t="n">
        <v>147</v>
      </c>
      <c r="F10" s="4" t="n">
        <v>123</v>
      </c>
      <c r="G10" s="0" t="n">
        <v>1968</v>
      </c>
      <c r="L10" s="0" t="n">
        <v>1964</v>
      </c>
      <c r="M10" s="0" t="n">
        <v>0</v>
      </c>
      <c r="O10" s="0" t="n">
        <v>1970</v>
      </c>
      <c r="P10" s="0" t="n">
        <f aca="false">SUM(E11:F23)</f>
        <v>3839</v>
      </c>
      <c r="X10" s="2"/>
    </row>
    <row r="11" customFormat="false" ht="14.1" hidden="false" customHeight="false" outlineLevel="0" collapsed="false">
      <c r="A11" s="7" t="n">
        <v>1972</v>
      </c>
      <c r="B11" s="0" t="s">
        <v>2</v>
      </c>
      <c r="C11" s="0" t="n">
        <v>1</v>
      </c>
      <c r="D11" s="0" t="n">
        <v>3</v>
      </c>
      <c r="E11" s="4" t="n">
        <v>407</v>
      </c>
      <c r="F11" s="4" t="n">
        <v>411</v>
      </c>
      <c r="G11" s="0" t="n">
        <v>1972</v>
      </c>
      <c r="H11" s="0" t="n">
        <v>1970</v>
      </c>
      <c r="I11" s="0" t="n">
        <f aca="false">COUNT(A11:A23)</f>
        <v>13</v>
      </c>
      <c r="J11" s="0" t="n">
        <f aca="false">SUM(E11:E23)</f>
        <v>2355</v>
      </c>
      <c r="L11" s="0" t="n">
        <v>1966</v>
      </c>
      <c r="M11" s="0" t="n">
        <f aca="false">SUM(E9:F9)</f>
        <v>91</v>
      </c>
      <c r="O11" s="0" t="n">
        <v>1975</v>
      </c>
      <c r="P11" s="0" t="n">
        <f aca="false">SUM(E24:F41)</f>
        <v>4882</v>
      </c>
      <c r="R11" s="12" t="s">
        <v>151</v>
      </c>
      <c r="S11" s="0" t="n">
        <f aca="false">SUM(S7:S9)</f>
        <v>2152</v>
      </c>
      <c r="T11" s="0" t="n">
        <f aca="false">SUM(T7:T9)</f>
        <v>1135</v>
      </c>
      <c r="U11" s="5" t="n">
        <f aca="false">S11+T11</f>
        <v>3287</v>
      </c>
    </row>
    <row r="12" customFormat="false" ht="14.1" hidden="false" customHeight="false" outlineLevel="0" collapsed="false">
      <c r="A12" s="7" t="n">
        <v>1972</v>
      </c>
      <c r="B12" s="0" t="s">
        <v>23</v>
      </c>
      <c r="C12" s="0" t="n">
        <v>1</v>
      </c>
      <c r="E12" s="4" t="n">
        <v>47</v>
      </c>
      <c r="F12" s="4" t="n">
        <v>43</v>
      </c>
      <c r="G12" s="0" t="n">
        <v>1972</v>
      </c>
      <c r="L12" s="0" t="n">
        <v>1968</v>
      </c>
      <c r="M12" s="0" t="n">
        <f aca="false">SUM(E10:F10)</f>
        <v>270</v>
      </c>
      <c r="O12" s="0" t="n">
        <v>1980</v>
      </c>
      <c r="P12" s="0" t="n">
        <f aca="false">SUM(E42:F45)</f>
        <v>780</v>
      </c>
      <c r="R12" s="12"/>
    </row>
    <row r="13" customFormat="false" ht="14.1" hidden="false" customHeight="false" outlineLevel="0" collapsed="false">
      <c r="A13" s="7" t="n">
        <v>1972</v>
      </c>
      <c r="B13" s="0" t="s">
        <v>48</v>
      </c>
      <c r="C13" s="0" t="n">
        <v>2</v>
      </c>
      <c r="E13" s="4" t="n">
        <v>33</v>
      </c>
      <c r="F13" s="4" t="n">
        <v>33</v>
      </c>
      <c r="G13" s="0" t="n">
        <v>1972</v>
      </c>
      <c r="L13" s="0" t="n">
        <v>1970</v>
      </c>
      <c r="M13" s="0" t="n">
        <v>0</v>
      </c>
      <c r="O13" s="0" t="n">
        <v>1985</v>
      </c>
      <c r="P13" s="0" t="n">
        <v>0</v>
      </c>
      <c r="R13" s="12"/>
      <c r="S13" s="5"/>
      <c r="T13" s="12" t="s">
        <v>152</v>
      </c>
      <c r="U13" s="13" t="n">
        <f aca="false">U11/F62</f>
        <v>0.299444292611825</v>
      </c>
    </row>
    <row r="14" customFormat="false" ht="14.1" hidden="false" customHeight="false" outlineLevel="0" collapsed="false">
      <c r="A14" s="7" t="n">
        <v>1973</v>
      </c>
      <c r="B14" s="0" t="s">
        <v>37</v>
      </c>
      <c r="C14" s="0" t="n">
        <v>2</v>
      </c>
      <c r="E14" s="4" t="n">
        <v>37</v>
      </c>
      <c r="F14" s="4" t="n">
        <v>33</v>
      </c>
      <c r="G14" s="0" t="n">
        <v>1973</v>
      </c>
      <c r="L14" s="0" t="n">
        <v>1972</v>
      </c>
      <c r="M14" s="0" t="n">
        <f aca="false">SUM(E11:F15)</f>
        <v>1065</v>
      </c>
      <c r="O14" s="0" t="n">
        <v>1990</v>
      </c>
      <c r="P14" s="0" t="n">
        <f aca="false">SUM(E46:F46)</f>
        <v>48</v>
      </c>
    </row>
    <row r="15" customFormat="false" ht="14.3" hidden="false" customHeight="false" outlineLevel="0" collapsed="false">
      <c r="A15" s="7" t="n">
        <v>1973</v>
      </c>
      <c r="B15" s="0" t="s">
        <v>67</v>
      </c>
      <c r="C15" s="0" t="n">
        <v>3</v>
      </c>
      <c r="E15" s="4" t="n">
        <v>11</v>
      </c>
      <c r="F15" s="4" t="n">
        <v>10</v>
      </c>
      <c r="G15" s="0" t="n">
        <v>1973</v>
      </c>
      <c r="L15" s="0" t="n">
        <v>1974</v>
      </c>
      <c r="M15" s="0" t="n">
        <f aca="false">SUM(E16:F30)</f>
        <v>3793</v>
      </c>
      <c r="O15" s="0" t="n">
        <v>1995</v>
      </c>
      <c r="P15" s="0" t="n">
        <f aca="false">SUM(E47:F48)</f>
        <v>92</v>
      </c>
      <c r="T15" s="12" t="s">
        <v>153</v>
      </c>
      <c r="U15" s="13" t="n">
        <f aca="false">U7/F62</f>
        <v>0.0745194497585861</v>
      </c>
    </row>
    <row r="16" customFormat="false" ht="14.1" hidden="false" customHeight="false" outlineLevel="0" collapsed="false">
      <c r="A16" s="7" t="n">
        <v>1974</v>
      </c>
      <c r="B16" s="0" t="s">
        <v>4</v>
      </c>
      <c r="C16" s="0" t="n">
        <v>1</v>
      </c>
      <c r="D16" s="0" t="n">
        <v>3</v>
      </c>
      <c r="E16" s="4" t="n">
        <v>277</v>
      </c>
      <c r="F16" s="4" t="n">
        <v>285</v>
      </c>
      <c r="G16" s="0" t="n">
        <v>1974</v>
      </c>
      <c r="L16" s="0" t="n">
        <v>1976</v>
      </c>
      <c r="M16" s="0" t="n">
        <f aca="false">SUM(E31:F39)</f>
        <v>2972</v>
      </c>
      <c r="O16" s="0" t="n">
        <v>2000</v>
      </c>
      <c r="P16" s="0" t="n">
        <f aca="false">SUM(E49:F51)</f>
        <v>307</v>
      </c>
    </row>
    <row r="17" customFormat="false" ht="14.1" hidden="false" customHeight="false" outlineLevel="0" collapsed="false">
      <c r="A17" s="7" t="n">
        <v>1974</v>
      </c>
      <c r="B17" s="0" t="s">
        <v>5</v>
      </c>
      <c r="C17" s="0" t="n">
        <v>1</v>
      </c>
      <c r="E17" s="4" t="n">
        <v>275</v>
      </c>
      <c r="F17" s="4" t="n">
        <v>293</v>
      </c>
      <c r="G17" s="0" t="n">
        <v>1974</v>
      </c>
      <c r="L17" s="0" t="n">
        <v>1978</v>
      </c>
      <c r="M17" s="0" t="n">
        <f aca="false">SUM(E41:F41)</f>
        <v>674</v>
      </c>
      <c r="O17" s="0" t="n">
        <v>2005</v>
      </c>
      <c r="P17" s="0" t="n">
        <f aca="false">SUM(E52:F53)</f>
        <v>24</v>
      </c>
    </row>
    <row r="18" customFormat="false" ht="14.1" hidden="false" customHeight="false" outlineLevel="0" collapsed="false">
      <c r="A18" s="7" t="n">
        <v>1974</v>
      </c>
      <c r="B18" s="0" t="s">
        <v>6</v>
      </c>
      <c r="C18" s="0" t="n">
        <v>2</v>
      </c>
      <c r="E18" s="4" t="n">
        <v>308</v>
      </c>
      <c r="F18" s="4" t="n">
        <v>0</v>
      </c>
      <c r="G18" s="0" t="n">
        <v>1974</v>
      </c>
      <c r="L18" s="0" t="n">
        <v>1980</v>
      </c>
      <c r="M18" s="0" t="n">
        <f aca="false">SUM(E42:F43)</f>
        <v>190</v>
      </c>
      <c r="O18" s="0" t="n">
        <v>2010</v>
      </c>
      <c r="P18" s="0" t="n">
        <f aca="false">SUM(E54:F56)</f>
        <v>67</v>
      </c>
    </row>
    <row r="19" customFormat="false" ht="14.1" hidden="false" customHeight="false" outlineLevel="0" collapsed="false">
      <c r="A19" s="7" t="n">
        <v>1974</v>
      </c>
      <c r="B19" s="0" t="s">
        <v>8</v>
      </c>
      <c r="D19" s="0" t="n">
        <v>4</v>
      </c>
      <c r="E19" s="4" t="n">
        <v>275</v>
      </c>
      <c r="F19" s="4" t="n">
        <v>0</v>
      </c>
      <c r="G19" s="0" t="n">
        <v>1974</v>
      </c>
      <c r="L19" s="0" t="n">
        <v>1982</v>
      </c>
      <c r="M19" s="0" t="n">
        <v>0</v>
      </c>
    </row>
    <row r="20" customFormat="false" ht="14.1" hidden="false" customHeight="false" outlineLevel="0" collapsed="false">
      <c r="A20" s="7" t="n">
        <v>1974</v>
      </c>
      <c r="B20" s="0" t="s">
        <v>154</v>
      </c>
      <c r="D20" s="0" t="n">
        <v>8</v>
      </c>
      <c r="E20" s="4" t="n">
        <v>308</v>
      </c>
      <c r="F20" s="4" t="n">
        <v>0</v>
      </c>
      <c r="G20" s="0" t="n">
        <v>1974</v>
      </c>
      <c r="L20" s="0" t="n">
        <v>1984</v>
      </c>
      <c r="M20" s="0" t="n">
        <f aca="false">SUM(E44:F45)</f>
        <v>590</v>
      </c>
    </row>
    <row r="21" customFormat="false" ht="14.1" hidden="false" customHeight="false" outlineLevel="0" collapsed="false">
      <c r="A21" s="7" t="n">
        <v>1974</v>
      </c>
      <c r="B21" s="0" t="s">
        <v>28</v>
      </c>
      <c r="C21" s="0" t="n">
        <v>2</v>
      </c>
      <c r="E21" s="4" t="n">
        <v>131</v>
      </c>
      <c r="F21" s="4" t="n">
        <v>128</v>
      </c>
      <c r="G21" s="0" t="n">
        <v>1974</v>
      </c>
      <c r="L21" s="0" t="n">
        <v>1986</v>
      </c>
      <c r="M21" s="0" t="n">
        <v>0</v>
      </c>
    </row>
    <row r="22" customFormat="false" ht="14.1" hidden="false" customHeight="false" outlineLevel="0" collapsed="false">
      <c r="A22" s="7" t="n">
        <v>1974</v>
      </c>
      <c r="B22" s="0" t="s">
        <v>155</v>
      </c>
      <c r="C22" s="0" t="n">
        <v>1</v>
      </c>
      <c r="E22" s="4" t="n">
        <v>190</v>
      </c>
      <c r="F22" s="4" t="n">
        <v>192</v>
      </c>
      <c r="G22" s="0" t="n">
        <v>1974</v>
      </c>
      <c r="L22" s="0" t="n">
        <v>1988</v>
      </c>
      <c r="M22" s="0" t="n">
        <v>0</v>
      </c>
    </row>
    <row r="23" customFormat="false" ht="14.1" hidden="false" customHeight="false" outlineLevel="0" collapsed="false">
      <c r="A23" s="7" t="n">
        <v>1974</v>
      </c>
      <c r="B23" s="0" t="s">
        <v>64</v>
      </c>
      <c r="C23" s="0" t="n">
        <v>1</v>
      </c>
      <c r="E23" s="4" t="n">
        <v>56</v>
      </c>
      <c r="F23" s="4" t="n">
        <v>56</v>
      </c>
      <c r="G23" s="0" t="n">
        <v>1974</v>
      </c>
      <c r="L23" s="0" t="n">
        <v>1990</v>
      </c>
      <c r="M23" s="0" t="n">
        <f aca="false">SUM(E46:F46)</f>
        <v>48</v>
      </c>
    </row>
    <row r="24" customFormat="false" ht="14.1" hidden="false" customHeight="false" outlineLevel="0" collapsed="false">
      <c r="A24" s="7" t="n">
        <v>1975</v>
      </c>
      <c r="B24" s="0" t="s">
        <v>10</v>
      </c>
      <c r="D24" s="0" t="n">
        <v>1.5</v>
      </c>
      <c r="E24" s="4" t="n">
        <v>150</v>
      </c>
      <c r="F24" s="4" t="n">
        <v>146</v>
      </c>
      <c r="G24" s="0" t="n">
        <v>1975</v>
      </c>
      <c r="H24" s="0" t="n">
        <v>1975</v>
      </c>
      <c r="I24" s="0" t="n">
        <f aca="false">COUNT(A24:A41)</f>
        <v>18</v>
      </c>
      <c r="J24" s="0" t="n">
        <f aca="false">SUM(E24:E41)</f>
        <v>2548</v>
      </c>
      <c r="L24" s="0" t="n">
        <v>1992</v>
      </c>
      <c r="M24" s="0" t="n">
        <v>0</v>
      </c>
      <c r="W24" s="7"/>
    </row>
    <row r="25" customFormat="false" ht="14.1" hidden="false" customHeight="false" outlineLevel="0" collapsed="false">
      <c r="A25" s="7" t="n">
        <v>1975</v>
      </c>
      <c r="B25" s="0" t="s">
        <v>156</v>
      </c>
      <c r="D25" s="0" t="n">
        <v>1.5</v>
      </c>
      <c r="E25" s="4" t="n">
        <v>152</v>
      </c>
      <c r="F25" s="4" t="n">
        <v>0</v>
      </c>
      <c r="G25" s="0" t="n">
        <v>1975</v>
      </c>
      <c r="L25" s="0" t="n">
        <v>1994</v>
      </c>
      <c r="M25" s="0" t="n">
        <v>0</v>
      </c>
      <c r="O25" s="3"/>
      <c r="P25" s="14"/>
    </row>
    <row r="26" customFormat="false" ht="14.1" hidden="false" customHeight="false" outlineLevel="0" collapsed="false">
      <c r="A26" s="7" t="n">
        <v>1975</v>
      </c>
      <c r="B26" s="0" t="s">
        <v>22</v>
      </c>
      <c r="C26" s="0" t="n">
        <v>1</v>
      </c>
      <c r="E26" s="4" t="n">
        <v>121</v>
      </c>
      <c r="F26" s="4" t="n">
        <v>123</v>
      </c>
      <c r="G26" s="0" t="n">
        <v>1975</v>
      </c>
      <c r="L26" s="0" t="n">
        <v>1996</v>
      </c>
      <c r="M26" s="0" t="n">
        <v>0</v>
      </c>
      <c r="O26" s="3"/>
      <c r="P26" s="3"/>
    </row>
    <row r="27" customFormat="false" ht="14.1" hidden="false" customHeight="false" outlineLevel="0" collapsed="false">
      <c r="A27" s="7" t="n">
        <v>1975</v>
      </c>
      <c r="B27" s="0" t="s">
        <v>24</v>
      </c>
      <c r="C27" s="0" t="n">
        <v>1</v>
      </c>
      <c r="E27" s="4" t="n">
        <v>67</v>
      </c>
      <c r="F27" s="4" t="n">
        <v>70</v>
      </c>
      <c r="G27" s="0" t="n">
        <v>1975</v>
      </c>
      <c r="L27" s="0" t="n">
        <v>1998</v>
      </c>
      <c r="M27" s="0" t="n">
        <f aca="false">SUM(E47:F48)</f>
        <v>92</v>
      </c>
      <c r="O27" s="3"/>
      <c r="P27" s="14"/>
    </row>
    <row r="28" customFormat="false" ht="14.1" hidden="false" customHeight="false" outlineLevel="0" collapsed="false">
      <c r="A28" s="7" t="n">
        <v>1975</v>
      </c>
      <c r="B28" s="0" t="s">
        <v>44</v>
      </c>
      <c r="C28" s="0" t="n">
        <v>3</v>
      </c>
      <c r="E28" s="4" t="n">
        <v>44</v>
      </c>
      <c r="F28" s="4" t="n">
        <v>46</v>
      </c>
      <c r="G28" s="0" t="n">
        <v>1975</v>
      </c>
      <c r="L28" s="0" t="n">
        <v>2000</v>
      </c>
      <c r="M28" s="0" t="n">
        <f aca="false">SUM(E49:F50)</f>
        <v>139</v>
      </c>
      <c r="O28" s="3"/>
      <c r="P28" s="14"/>
    </row>
    <row r="29" customFormat="false" ht="14.1" hidden="false" customHeight="false" outlineLevel="0" collapsed="false">
      <c r="A29" s="7" t="n">
        <v>1975</v>
      </c>
      <c r="B29" s="0" t="s">
        <v>45</v>
      </c>
      <c r="C29" s="0" t="n">
        <v>3</v>
      </c>
      <c r="D29" s="0" t="n">
        <v>3</v>
      </c>
      <c r="E29" s="4" t="n">
        <v>57</v>
      </c>
      <c r="F29" s="4" t="n">
        <v>0</v>
      </c>
      <c r="G29" s="0" t="n">
        <v>1975</v>
      </c>
      <c r="L29" s="0" t="n">
        <v>2002</v>
      </c>
      <c r="M29" s="0" t="n">
        <f aca="false">SUM(E51:F51)</f>
        <v>168</v>
      </c>
      <c r="O29" s="3"/>
      <c r="P29" s="3"/>
    </row>
    <row r="30" customFormat="false" ht="14.1" hidden="false" customHeight="false" outlineLevel="0" collapsed="false">
      <c r="A30" s="7" t="n">
        <v>1975</v>
      </c>
      <c r="B30" s="0" t="s">
        <v>46</v>
      </c>
      <c r="D30" s="0" t="n">
        <v>3</v>
      </c>
      <c r="E30" s="4" t="n">
        <v>43</v>
      </c>
      <c r="F30" s="4" t="n">
        <v>0</v>
      </c>
      <c r="G30" s="0" t="n">
        <v>1975</v>
      </c>
      <c r="L30" s="0" t="n">
        <v>2004</v>
      </c>
      <c r="M30" s="0" t="n">
        <v>0</v>
      </c>
      <c r="O30" s="3"/>
      <c r="P30" s="3"/>
    </row>
    <row r="31" customFormat="false" ht="14.1" hidden="false" customHeight="false" outlineLevel="0" collapsed="false">
      <c r="A31" s="7" t="n">
        <v>1976</v>
      </c>
      <c r="B31" s="0" t="s">
        <v>30</v>
      </c>
      <c r="C31" s="0" t="n">
        <v>1</v>
      </c>
      <c r="E31" s="4" t="n">
        <v>428</v>
      </c>
      <c r="F31" s="4" t="n">
        <v>428</v>
      </c>
      <c r="G31" s="0" t="n">
        <v>1976</v>
      </c>
      <c r="L31" s="0" t="n">
        <v>2006</v>
      </c>
      <c r="M31" s="0" t="n">
        <v>0</v>
      </c>
      <c r="O31" s="3"/>
      <c r="P31" s="14"/>
    </row>
    <row r="32" customFormat="false" ht="14.1" hidden="false" customHeight="false" outlineLevel="0" collapsed="false">
      <c r="A32" s="7" t="n">
        <v>1976</v>
      </c>
      <c r="B32" s="0" t="s">
        <v>38</v>
      </c>
      <c r="C32" s="0" t="n">
        <v>1</v>
      </c>
      <c r="E32" s="4" t="n">
        <v>339</v>
      </c>
      <c r="F32" s="4" t="n">
        <v>349</v>
      </c>
      <c r="G32" s="0" t="n">
        <v>1976</v>
      </c>
      <c r="L32" s="0" t="n">
        <v>2008</v>
      </c>
      <c r="M32" s="0" t="n">
        <f aca="false">SUM(E52:F53)</f>
        <v>24</v>
      </c>
      <c r="O32" s="3"/>
      <c r="P32" s="3"/>
    </row>
    <row r="33" customFormat="false" ht="14.1" hidden="false" customHeight="false" outlineLevel="0" collapsed="false">
      <c r="A33" s="7" t="n">
        <v>1977</v>
      </c>
      <c r="B33" s="0" t="s">
        <v>157</v>
      </c>
      <c r="D33" s="0" t="n">
        <v>4</v>
      </c>
      <c r="E33" s="4" t="n">
        <v>8</v>
      </c>
      <c r="F33" s="4" t="n">
        <v>11</v>
      </c>
      <c r="G33" s="0" t="n">
        <v>1977</v>
      </c>
      <c r="L33" s="0" t="n">
        <v>2010</v>
      </c>
      <c r="M33" s="0" t="n">
        <f aca="false">SUM(E54:F55)</f>
        <v>39</v>
      </c>
      <c r="O33" s="3"/>
      <c r="P33" s="14"/>
    </row>
    <row r="34" customFormat="false" ht="14.1" hidden="false" customHeight="false" outlineLevel="0" collapsed="false">
      <c r="A34" s="7" t="n">
        <v>1977</v>
      </c>
      <c r="B34" s="0" t="s">
        <v>11</v>
      </c>
      <c r="D34" s="0" t="n">
        <v>6</v>
      </c>
      <c r="E34" s="4" t="n">
        <v>42</v>
      </c>
      <c r="F34" s="4" t="n">
        <v>41</v>
      </c>
      <c r="G34" s="0" t="n">
        <v>1977</v>
      </c>
      <c r="L34" s="0" t="n">
        <v>2012</v>
      </c>
      <c r="M34" s="0" t="n">
        <v>0</v>
      </c>
      <c r="O34" s="3"/>
      <c r="P34" s="14"/>
    </row>
    <row r="35" customFormat="false" ht="14.1" hidden="false" customHeight="false" outlineLevel="0" collapsed="false">
      <c r="A35" s="7" t="n">
        <v>1977</v>
      </c>
      <c r="B35" s="0" t="s">
        <v>39</v>
      </c>
      <c r="D35" s="0" t="n">
        <v>4</v>
      </c>
      <c r="E35" s="4" t="n">
        <v>145</v>
      </c>
      <c r="F35" s="4" t="n">
        <v>119</v>
      </c>
      <c r="G35" s="0" t="n">
        <v>1977</v>
      </c>
      <c r="L35" s="0" t="n">
        <v>2014</v>
      </c>
      <c r="M35" s="0" t="n">
        <f aca="false">SUM(E56:F56)</f>
        <v>28</v>
      </c>
      <c r="O35" s="3"/>
      <c r="P35" s="3"/>
    </row>
    <row r="36" customFormat="false" ht="14.1" hidden="false" customHeight="false" outlineLevel="0" collapsed="false">
      <c r="A36" s="7" t="n">
        <v>1977</v>
      </c>
      <c r="B36" s="0" t="s">
        <v>50</v>
      </c>
      <c r="C36" s="0" t="n">
        <v>1</v>
      </c>
      <c r="E36" s="4" t="n">
        <v>80</v>
      </c>
      <c r="F36" s="4" t="n">
        <v>78</v>
      </c>
      <c r="G36" s="0" t="n">
        <v>1977</v>
      </c>
      <c r="O36" s="3"/>
      <c r="P36" s="3"/>
    </row>
    <row r="37" customFormat="false" ht="14.1" hidden="false" customHeight="false" outlineLevel="0" collapsed="false">
      <c r="A37" s="7" t="n">
        <v>1977</v>
      </c>
      <c r="B37" s="0" t="s">
        <v>158</v>
      </c>
      <c r="C37" s="0" t="n">
        <v>1</v>
      </c>
      <c r="E37" s="4" t="n">
        <v>304</v>
      </c>
      <c r="F37" s="4" t="n">
        <v>311</v>
      </c>
      <c r="G37" s="0" t="n">
        <v>1977</v>
      </c>
      <c r="P37" s="3"/>
      <c r="Q37" s="3"/>
    </row>
    <row r="38" customFormat="false" ht="14.1" hidden="false" customHeight="false" outlineLevel="0" collapsed="false">
      <c r="A38" s="7" t="n">
        <v>1977</v>
      </c>
      <c r="B38" s="0" t="s">
        <v>52</v>
      </c>
      <c r="C38" s="0" t="n">
        <v>1</v>
      </c>
      <c r="E38" s="4" t="n">
        <v>12</v>
      </c>
      <c r="F38" s="4" t="n">
        <v>12</v>
      </c>
      <c r="G38" s="0" t="n">
        <v>1977</v>
      </c>
      <c r="P38" s="3"/>
      <c r="Q38" s="3"/>
    </row>
    <row r="39" customFormat="false" ht="14.1" hidden="false" customHeight="false" outlineLevel="0" collapsed="false">
      <c r="A39" s="7" t="n">
        <v>1977</v>
      </c>
      <c r="B39" s="0" t="s">
        <v>69</v>
      </c>
      <c r="D39" s="0" t="n">
        <v>4</v>
      </c>
      <c r="E39" s="4" t="n">
        <v>124</v>
      </c>
      <c r="F39" s="4" t="n">
        <v>141</v>
      </c>
      <c r="G39" s="0" t="n">
        <v>1977</v>
      </c>
      <c r="P39" s="3"/>
      <c r="Q39" s="3"/>
    </row>
    <row r="40" customFormat="false" ht="14.3" hidden="false" customHeight="false" outlineLevel="0" collapsed="false">
      <c r="A40" s="7" t="n">
        <v>1977</v>
      </c>
      <c r="B40" s="0" t="s">
        <v>70</v>
      </c>
      <c r="D40" s="0" t="n">
        <v>4</v>
      </c>
      <c r="E40" s="4" t="n">
        <v>101</v>
      </c>
      <c r="F40" s="4" t="n">
        <v>116</v>
      </c>
      <c r="G40" s="0" t="n">
        <v>1977</v>
      </c>
      <c r="L40" s="5" t="s">
        <v>159</v>
      </c>
      <c r="P40" s="3"/>
      <c r="Q40" s="14" t="s">
        <v>160</v>
      </c>
    </row>
    <row r="41" customFormat="false" ht="14.3" hidden="false" customHeight="false" outlineLevel="0" collapsed="false">
      <c r="A41" s="7" t="n">
        <v>1979</v>
      </c>
      <c r="B41" s="0" t="s">
        <v>61</v>
      </c>
      <c r="C41" s="0" t="n">
        <v>2</v>
      </c>
      <c r="E41" s="4" t="n">
        <v>331</v>
      </c>
      <c r="F41" s="4" t="n">
        <v>343</v>
      </c>
      <c r="G41" s="0" t="n">
        <v>1979</v>
      </c>
      <c r="O41" s="1" t="s">
        <v>161</v>
      </c>
      <c r="P41" s="3"/>
      <c r="T41" s="1" t="s">
        <v>161</v>
      </c>
    </row>
    <row r="42" customFormat="false" ht="14.3" hidden="false" customHeight="false" outlineLevel="0" collapsed="false">
      <c r="A42" s="0" t="n">
        <v>1981</v>
      </c>
      <c r="B42" s="0" t="s">
        <v>20</v>
      </c>
      <c r="C42" s="0" t="n">
        <v>1</v>
      </c>
      <c r="E42" s="4" t="n">
        <v>51</v>
      </c>
      <c r="F42" s="4" t="n">
        <v>51</v>
      </c>
      <c r="G42" s="0" t="n">
        <v>1981</v>
      </c>
      <c r="H42" s="0" t="n">
        <v>1980</v>
      </c>
      <c r="I42" s="0" t="n">
        <f aca="false">COUNT(A42:A45)</f>
        <v>4</v>
      </c>
      <c r="J42" s="0" t="n">
        <f aca="false">SUM(E42:E45)</f>
        <v>392</v>
      </c>
      <c r="L42" s="15" t="n">
        <v>1972</v>
      </c>
      <c r="M42" s="4"/>
      <c r="N42" s="4"/>
      <c r="O42" s="16" t="s">
        <v>162</v>
      </c>
      <c r="P42" s="17"/>
      <c r="Q42" s="15" t="n">
        <v>1972</v>
      </c>
      <c r="R42" s="4"/>
      <c r="S42" s="4"/>
      <c r="T42" s="16" t="s">
        <v>162</v>
      </c>
    </row>
    <row r="43" customFormat="false" ht="14.3" hidden="false" customHeight="false" outlineLevel="0" collapsed="false">
      <c r="A43" s="0" t="n">
        <v>1981</v>
      </c>
      <c r="B43" s="0" t="s">
        <v>21</v>
      </c>
      <c r="E43" s="4" t="n">
        <v>44</v>
      </c>
      <c r="F43" s="4" t="n">
        <v>44</v>
      </c>
      <c r="G43" s="0" t="n">
        <v>1981</v>
      </c>
      <c r="L43" s="15" t="s">
        <v>163</v>
      </c>
      <c r="M43" s="18" t="s">
        <v>164</v>
      </c>
      <c r="N43" s="19" t="s">
        <v>165</v>
      </c>
      <c r="O43" s="16"/>
      <c r="P43" s="17"/>
      <c r="Q43" s="15" t="s">
        <v>163</v>
      </c>
      <c r="R43" s="18" t="s">
        <v>164</v>
      </c>
      <c r="S43" s="19" t="s">
        <v>165</v>
      </c>
      <c r="T43" s="16"/>
    </row>
    <row r="44" customFormat="false" ht="14.3" hidden="false" customHeight="false" outlineLevel="0" collapsed="false">
      <c r="A44" s="0" t="n">
        <v>1984</v>
      </c>
      <c r="B44" s="0" t="s">
        <v>15</v>
      </c>
      <c r="C44" s="0" t="n">
        <v>2</v>
      </c>
      <c r="E44" s="4" t="n">
        <v>32</v>
      </c>
      <c r="F44" s="4" t="n">
        <v>30</v>
      </c>
      <c r="G44" s="0" t="n">
        <v>1984</v>
      </c>
      <c r="L44" s="15" t="n">
        <v>1979</v>
      </c>
      <c r="M44" s="20" t="n">
        <f aca="false">COUNTA(E11:E41)</f>
        <v>31</v>
      </c>
      <c r="N44" s="20" t="n">
        <f aca="false">SUM(E11:F41)</f>
        <v>8721</v>
      </c>
      <c r="O44" s="16" t="n">
        <f aca="false">M44/L45</f>
        <v>3.875</v>
      </c>
      <c r="P44" s="3"/>
      <c r="Q44" s="15" t="n">
        <v>1984</v>
      </c>
      <c r="R44" s="20" t="n">
        <f aca="false">COUNTA(G11:G45)</f>
        <v>35</v>
      </c>
      <c r="S44" s="20" t="n">
        <f aca="false">SUM(E11:F45)</f>
        <v>9501</v>
      </c>
      <c r="T44" s="16" t="n">
        <f aca="false">R44/Q45</f>
        <v>2.69230769230769</v>
      </c>
    </row>
    <row r="45" customFormat="false" ht="14.3" hidden="false" customHeight="false" outlineLevel="0" collapsed="false">
      <c r="A45" s="0" t="n">
        <v>1984</v>
      </c>
      <c r="B45" s="0" t="s">
        <v>16</v>
      </c>
      <c r="C45" s="0" t="n">
        <v>1</v>
      </c>
      <c r="D45" s="0" t="n">
        <v>4</v>
      </c>
      <c r="E45" s="4" t="n">
        <v>265</v>
      </c>
      <c r="F45" s="4" t="n">
        <v>263</v>
      </c>
      <c r="G45" s="0" t="n">
        <v>1984</v>
      </c>
      <c r="L45" s="15" t="n">
        <f aca="false">L44-L42+1</f>
        <v>8</v>
      </c>
      <c r="M45" s="20"/>
      <c r="N45" s="20" t="n">
        <f aca="false">N44/M44</f>
        <v>281.322580645161</v>
      </c>
      <c r="O45" s="16"/>
      <c r="P45" s="3"/>
      <c r="Q45" s="15" t="n">
        <f aca="false">Q44-Q42+1</f>
        <v>13</v>
      </c>
      <c r="R45" s="20"/>
      <c r="S45" s="20" t="n">
        <f aca="false">S44/R44</f>
        <v>271.457142857143</v>
      </c>
      <c r="T45" s="16"/>
    </row>
    <row r="46" customFormat="false" ht="14.1" hidden="false" customHeight="false" outlineLevel="0" collapsed="false">
      <c r="A46" s="0" t="n">
        <v>1990</v>
      </c>
      <c r="B46" s="0" t="s">
        <v>36</v>
      </c>
      <c r="C46" s="0" t="n">
        <v>1</v>
      </c>
      <c r="E46" s="4" t="n">
        <v>24</v>
      </c>
      <c r="F46" s="4" t="n">
        <v>24</v>
      </c>
      <c r="G46" s="0" t="n">
        <v>1990</v>
      </c>
      <c r="H46" s="0" t="n">
        <v>1990</v>
      </c>
      <c r="I46" s="0" t="n">
        <f aca="false">COUNT(A46)</f>
        <v>1</v>
      </c>
      <c r="J46" s="0" t="n">
        <f aca="false">SUM(E46)</f>
        <v>24</v>
      </c>
      <c r="L46" s="15"/>
      <c r="M46" s="20"/>
      <c r="N46" s="20"/>
      <c r="O46" s="16"/>
      <c r="P46" s="3"/>
      <c r="Q46" s="15"/>
      <c r="R46" s="20"/>
      <c r="S46" s="20"/>
      <c r="T46" s="16"/>
    </row>
    <row r="47" customFormat="false" ht="14.3" hidden="false" customHeight="false" outlineLevel="0" collapsed="false">
      <c r="A47" s="0" t="n">
        <v>1998</v>
      </c>
      <c r="B47" s="0" t="s">
        <v>166</v>
      </c>
      <c r="C47" s="0" t="n">
        <v>1</v>
      </c>
      <c r="E47" s="4" t="n">
        <v>30</v>
      </c>
      <c r="F47" s="4" t="n">
        <v>14</v>
      </c>
      <c r="G47" s="0" t="n">
        <v>1998</v>
      </c>
      <c r="H47" s="0" t="n">
        <v>1995</v>
      </c>
      <c r="I47" s="0" t="n">
        <f aca="false">COUNT(A47:A48)</f>
        <v>2</v>
      </c>
      <c r="J47" s="0" t="n">
        <f aca="false">SUM(E47:E48)</f>
        <v>53</v>
      </c>
      <c r="L47" s="15"/>
      <c r="M47" s="20"/>
      <c r="N47" s="20"/>
      <c r="O47" s="16"/>
      <c r="P47" s="3"/>
      <c r="Q47" s="15"/>
      <c r="R47" s="20"/>
      <c r="S47" s="20"/>
      <c r="T47" s="16"/>
    </row>
    <row r="48" customFormat="false" ht="14.3" hidden="false" customHeight="false" outlineLevel="0" collapsed="false">
      <c r="A48" s="0" t="n">
        <v>1998</v>
      </c>
      <c r="B48" s="0" t="s">
        <v>167</v>
      </c>
      <c r="C48" s="0" t="n">
        <v>1</v>
      </c>
      <c r="E48" s="4" t="n">
        <v>23</v>
      </c>
      <c r="F48" s="4" t="n">
        <v>25</v>
      </c>
      <c r="G48" s="0" t="n">
        <v>1998</v>
      </c>
      <c r="L48" s="15"/>
      <c r="M48" s="20"/>
      <c r="N48" s="20"/>
      <c r="O48" s="16"/>
      <c r="P48" s="3"/>
      <c r="Q48" s="15"/>
      <c r="R48" s="20"/>
      <c r="S48" s="20"/>
      <c r="T48" s="16"/>
    </row>
    <row r="49" customFormat="false" ht="14.3" hidden="false" customHeight="false" outlineLevel="0" collapsed="false">
      <c r="A49" s="0" t="n">
        <v>2001</v>
      </c>
      <c r="B49" s="0" t="s">
        <v>14</v>
      </c>
      <c r="D49" s="0" t="n">
        <v>1</v>
      </c>
      <c r="E49" s="4" t="n">
        <v>47</v>
      </c>
      <c r="F49" s="4" t="n">
        <v>42</v>
      </c>
      <c r="G49" s="0" t="n">
        <v>2001</v>
      </c>
      <c r="H49" s="0" t="n">
        <v>2000</v>
      </c>
      <c r="I49" s="0" t="n">
        <f aca="false">COUNT(A49:A51)</f>
        <v>3</v>
      </c>
      <c r="J49" s="0" t="n">
        <f aca="false">SUM(E49:E51)</f>
        <v>181</v>
      </c>
      <c r="L49" s="15" t="n">
        <v>1980</v>
      </c>
      <c r="M49" s="20"/>
      <c r="N49" s="20"/>
      <c r="O49" s="16"/>
      <c r="P49" s="3"/>
      <c r="Q49" s="15" t="n">
        <v>1990</v>
      </c>
      <c r="R49" s="20"/>
      <c r="S49" s="20"/>
      <c r="T49" s="16"/>
    </row>
    <row r="50" customFormat="false" ht="14.3" hidden="false" customHeight="false" outlineLevel="0" collapsed="false">
      <c r="A50" s="0" t="n">
        <v>2001</v>
      </c>
      <c r="B50" s="0" t="s">
        <v>168</v>
      </c>
      <c r="D50" s="0" t="n">
        <v>3</v>
      </c>
      <c r="E50" s="4" t="n">
        <v>50</v>
      </c>
      <c r="F50" s="4" t="n">
        <v>0</v>
      </c>
      <c r="G50" s="0" t="n">
        <v>2001</v>
      </c>
      <c r="L50" s="15" t="s">
        <v>163</v>
      </c>
      <c r="M50" s="18" t="s">
        <v>164</v>
      </c>
      <c r="N50" s="19" t="s">
        <v>165</v>
      </c>
      <c r="O50" s="16"/>
      <c r="P50" s="17"/>
      <c r="Q50" s="15" t="s">
        <v>163</v>
      </c>
      <c r="R50" s="18" t="s">
        <v>164</v>
      </c>
      <c r="S50" s="19" t="s">
        <v>165</v>
      </c>
      <c r="T50" s="16"/>
    </row>
    <row r="51" customFormat="false" ht="14.3" hidden="false" customHeight="false" outlineLevel="0" collapsed="false">
      <c r="A51" s="0" t="n">
        <v>2002</v>
      </c>
      <c r="B51" s="0" t="s">
        <v>71</v>
      </c>
      <c r="C51" s="0" t="n">
        <v>1</v>
      </c>
      <c r="E51" s="4" t="n">
        <v>84</v>
      </c>
      <c r="F51" s="4" t="n">
        <v>84</v>
      </c>
      <c r="G51" s="0" t="n">
        <v>2002</v>
      </c>
      <c r="L51" s="15" t="n">
        <v>2014</v>
      </c>
      <c r="M51" s="20" t="n">
        <f aca="false">COUNTA(E42:E56)</f>
        <v>15</v>
      </c>
      <c r="N51" s="20" t="n">
        <f aca="false">SUM(E42:F56)</f>
        <v>1318</v>
      </c>
      <c r="O51" s="16" t="n">
        <f aca="false">M51/L52</f>
        <v>0.428571428571429</v>
      </c>
      <c r="P51" s="3"/>
      <c r="Q51" s="15" t="n">
        <v>2014</v>
      </c>
      <c r="R51" s="20" t="n">
        <f aca="false">COUNTA(G46:G56)</f>
        <v>11</v>
      </c>
      <c r="S51" s="20" t="n">
        <f aca="false">SUM(E46:F56)</f>
        <v>538</v>
      </c>
      <c r="T51" s="16" t="n">
        <f aca="false">R51/Q52</f>
        <v>0.44</v>
      </c>
    </row>
    <row r="52" customFormat="false" ht="14.3" hidden="false" customHeight="false" outlineLevel="0" collapsed="false">
      <c r="A52" s="0" t="n">
        <v>2008</v>
      </c>
      <c r="B52" s="0" t="s">
        <v>19</v>
      </c>
      <c r="C52" s="0" t="n">
        <v>1.5</v>
      </c>
      <c r="E52" s="4" t="n">
        <v>6</v>
      </c>
      <c r="F52" s="4" t="n">
        <v>6</v>
      </c>
      <c r="G52" s="0" t="n">
        <v>2008</v>
      </c>
      <c r="H52" s="0" t="n">
        <v>2005</v>
      </c>
      <c r="I52" s="0" t="n">
        <f aca="false">COUNT(A52:A53)</f>
        <v>2</v>
      </c>
      <c r="J52" s="0" t="n">
        <f aca="false">SUM(E52:E53)</f>
        <v>12</v>
      </c>
      <c r="L52" s="15" t="n">
        <f aca="false">L51-L49+1</f>
        <v>35</v>
      </c>
      <c r="M52" s="20"/>
      <c r="N52" s="20" t="n">
        <f aca="false">N51/M51</f>
        <v>87.8666666666667</v>
      </c>
      <c r="O52" s="16"/>
      <c r="P52" s="3"/>
      <c r="Q52" s="15" t="n">
        <f aca="false">Q51-Q49+1</f>
        <v>25</v>
      </c>
      <c r="R52" s="20"/>
      <c r="S52" s="20" t="n">
        <f aca="false">S51/R51</f>
        <v>48.9090909090909</v>
      </c>
      <c r="T52" s="16"/>
    </row>
    <row r="53" customFormat="false" ht="14.15" hidden="false" customHeight="false" outlineLevel="0" collapsed="false">
      <c r="A53" s="0" t="n">
        <v>2008</v>
      </c>
      <c r="B53" s="0" t="s">
        <v>169</v>
      </c>
      <c r="C53" s="0" t="n">
        <v>1.5</v>
      </c>
      <c r="E53" s="4" t="n">
        <v>6</v>
      </c>
      <c r="F53" s="4" t="n">
        <v>6</v>
      </c>
      <c r="G53" s="0" t="n">
        <v>2008</v>
      </c>
      <c r="O53" s="1"/>
      <c r="P53" s="3"/>
      <c r="Q53" s="3"/>
    </row>
    <row r="54" customFormat="false" ht="14.3" hidden="false" customHeight="false" outlineLevel="0" collapsed="false">
      <c r="A54" s="0" t="n">
        <v>2011</v>
      </c>
      <c r="B54" s="0" t="s">
        <v>25</v>
      </c>
      <c r="C54" s="0" t="n">
        <v>1</v>
      </c>
      <c r="E54" s="4" t="n">
        <v>12</v>
      </c>
      <c r="F54" s="4" t="n">
        <v>10</v>
      </c>
      <c r="G54" s="0" t="n">
        <v>2011</v>
      </c>
      <c r="H54" s="0" t="n">
        <v>2010</v>
      </c>
      <c r="I54" s="0" t="n">
        <f aca="false">COUNT(A54:A56)</f>
        <v>3</v>
      </c>
      <c r="J54" s="0" t="n">
        <f aca="false">SUM(E54:E56)</f>
        <v>36</v>
      </c>
      <c r="L54" s="0" t="s">
        <v>170</v>
      </c>
      <c r="R54" s="12" t="s">
        <v>171</v>
      </c>
    </row>
    <row r="55" customFormat="false" ht="14.3" hidden="false" customHeight="false" outlineLevel="0" collapsed="false">
      <c r="A55" s="0" t="n">
        <v>2011</v>
      </c>
      <c r="B55" s="0" t="s">
        <v>26</v>
      </c>
      <c r="C55" s="0" t="n">
        <v>1</v>
      </c>
      <c r="E55" s="4" t="n">
        <v>9</v>
      </c>
      <c r="F55" s="4" t="n">
        <v>8</v>
      </c>
      <c r="G55" s="0" t="n">
        <v>2011</v>
      </c>
      <c r="R55" s="12" t="s">
        <v>165</v>
      </c>
      <c r="S55" s="5" t="n">
        <f aca="false">S44/S51</f>
        <v>17.6598513011152</v>
      </c>
    </row>
    <row r="56" customFormat="false" ht="14.15" hidden="false" customHeight="false" outlineLevel="0" collapsed="false">
      <c r="A56" s="0" t="n">
        <v>2014</v>
      </c>
      <c r="B56" s="0" t="s">
        <v>42</v>
      </c>
      <c r="C56" s="0" t="n">
        <v>1</v>
      </c>
      <c r="E56" s="4" t="n">
        <v>15</v>
      </c>
      <c r="F56" s="4" t="n">
        <v>13</v>
      </c>
      <c r="G56" s="0" t="n">
        <v>2014</v>
      </c>
    </row>
    <row r="58" customFormat="false" ht="14.1" hidden="false" customHeight="false" outlineLevel="0" collapsed="false">
      <c r="X58" s="5"/>
    </row>
    <row r="59" customFormat="false" ht="14.15" hidden="false" customHeight="false" outlineLevel="0" collapsed="false">
      <c r="D59" s="0" t="s">
        <v>172</v>
      </c>
      <c r="E59" s="0" t="n">
        <f aca="false">COUNT(E6:E56)</f>
        <v>50</v>
      </c>
    </row>
    <row r="60" customFormat="false" ht="14.15" hidden="false" customHeight="false" outlineLevel="0" collapsed="false">
      <c r="D60" s="0" t="s">
        <v>173</v>
      </c>
      <c r="E60" s="0" t="n">
        <f aca="false">SUM(E6:E56)</f>
        <v>6113</v>
      </c>
      <c r="F60" s="0" t="n">
        <f aca="false">SUM(F6:F56)</f>
        <v>4864</v>
      </c>
      <c r="M60" s="4" t="n">
        <f aca="false">SUM(M5:M38)</f>
        <v>10760</v>
      </c>
      <c r="P60" s="4" t="n">
        <f aca="false">SUM(P5:P38)</f>
        <v>10977</v>
      </c>
    </row>
    <row r="62" customFormat="false" ht="14.15" hidden="false" customHeight="false" outlineLevel="0" collapsed="false">
      <c r="D62" s="0" t="s">
        <v>173</v>
      </c>
      <c r="F62" s="4" t="n">
        <f aca="false">E60+F60</f>
        <v>10977</v>
      </c>
      <c r="I62" s="4" t="n">
        <v>2014</v>
      </c>
      <c r="J62" s="4" t="n">
        <f aca="false">L44</f>
        <v>1979</v>
      </c>
      <c r="K62" s="4" t="n">
        <f aca="false">I62-J62</f>
        <v>35</v>
      </c>
    </row>
    <row r="68" customFormat="false" ht="14.3" hidden="false" customHeight="false" outlineLevel="0" collapsed="false">
      <c r="D68" s="0" t="s">
        <v>174</v>
      </c>
    </row>
    <row r="70" customFormat="false" ht="14.3" hidden="false" customHeight="false" outlineLevel="0" collapsed="false">
      <c r="D70" s="5" t="s">
        <v>175</v>
      </c>
      <c r="G70" s="0" t="s">
        <v>176</v>
      </c>
    </row>
    <row r="72" customFormat="false" ht="14.3" hidden="false" customHeight="false" outlineLevel="0" collapsed="false">
      <c r="D72" s="0" t="s">
        <v>119</v>
      </c>
      <c r="F72" s="0" t="n">
        <v>0.3</v>
      </c>
    </row>
    <row r="73" customFormat="false" ht="14.3" hidden="false" customHeight="false" outlineLevel="0" collapsed="false">
      <c r="D73" s="0" t="s">
        <v>177</v>
      </c>
      <c r="F73" s="0" t="n">
        <v>0.5</v>
      </c>
    </row>
    <row r="74" customFormat="false" ht="14.3" hidden="false" customHeight="false" outlineLevel="0" collapsed="false">
      <c r="D74" s="0" t="s">
        <v>178</v>
      </c>
      <c r="F74" s="0" t="n">
        <v>1.5</v>
      </c>
    </row>
    <row r="76" customFormat="false" ht="14.3" hidden="false" customHeight="false" outlineLevel="0" collapsed="false">
      <c r="D76" s="0" t="s">
        <v>179</v>
      </c>
      <c r="F76" s="0" t="n">
        <f aca="false">SUM(F72:F74)</f>
        <v>2.3</v>
      </c>
      <c r="G76" s="21" t="s">
        <v>180</v>
      </c>
    </row>
    <row r="78" customFormat="false" ht="14.3" hidden="false" customHeight="false" outlineLevel="0" collapsed="false">
      <c r="D78" s="5" t="s">
        <v>181</v>
      </c>
    </row>
    <row r="80" customFormat="false" ht="14.3" hidden="false" customHeight="false" outlineLevel="0" collapsed="false">
      <c r="D80" s="0" t="s">
        <v>182</v>
      </c>
      <c r="F80" s="0" t="n">
        <v>3.6</v>
      </c>
    </row>
    <row r="81" customFormat="false" ht="14.3" hidden="false" customHeight="false" outlineLevel="0" collapsed="false">
      <c r="D81" s="0" t="s">
        <v>182</v>
      </c>
      <c r="F81" s="0" t="n">
        <v>3.6</v>
      </c>
    </row>
    <row r="82" customFormat="false" ht="14.3" hidden="false" customHeight="false" outlineLevel="0" collapsed="false">
      <c r="D82" s="0" t="s">
        <v>183</v>
      </c>
      <c r="F82" s="0" t="n">
        <v>9.6</v>
      </c>
    </row>
    <row r="83" customFormat="false" ht="14.1" hidden="false" customHeight="false" outlineLevel="0" collapsed="false">
      <c r="D83" s="0" t="s">
        <v>184</v>
      </c>
      <c r="F83" s="0" t="n">
        <v>25.9</v>
      </c>
    </row>
    <row r="84" customFormat="false" ht="14.1" hidden="false" customHeight="false" outlineLevel="0" collapsed="false">
      <c r="D84" s="0" t="s">
        <v>184</v>
      </c>
      <c r="F84" s="0" t="n">
        <v>16.6</v>
      </c>
      <c r="G84" s="21"/>
    </row>
    <row r="86" customFormat="false" ht="14.3" hidden="false" customHeight="false" outlineLevel="0" collapsed="false">
      <c r="D86" s="0" t="s">
        <v>179</v>
      </c>
      <c r="F86" s="0" t="n">
        <f aca="false">SUM(F80:F84)</f>
        <v>59.3</v>
      </c>
      <c r="G86" s="0" t="s">
        <v>180</v>
      </c>
    </row>
    <row r="89" customFormat="false" ht="14.3" hidden="false" customHeight="false" outlineLevel="0" collapsed="false">
      <c r="D89" s="5" t="s">
        <v>185</v>
      </c>
    </row>
    <row r="91" customFormat="false" ht="14.3" hidden="false" customHeight="false" outlineLevel="0" collapsed="false">
      <c r="D91" s="0" t="s">
        <v>119</v>
      </c>
      <c r="F91" s="0" t="n">
        <v>0.5</v>
      </c>
    </row>
    <row r="92" customFormat="false" ht="14.3" hidden="false" customHeight="false" outlineLevel="0" collapsed="false">
      <c r="D92" s="0" t="s">
        <v>177</v>
      </c>
      <c r="F92" s="0" t="n">
        <v>0.7</v>
      </c>
    </row>
    <row r="93" customFormat="false" ht="14.3" hidden="false" customHeight="false" outlineLevel="0" collapsed="false">
      <c r="D93" s="0" t="s">
        <v>178</v>
      </c>
      <c r="F93" s="0" t="n">
        <v>0.5</v>
      </c>
    </row>
    <row r="94" customFormat="false" ht="14.3" hidden="false" customHeight="false" outlineLevel="0" collapsed="false">
      <c r="D94" s="0" t="s">
        <v>186</v>
      </c>
      <c r="F94" s="0" t="n">
        <v>1.2</v>
      </c>
    </row>
    <row r="95" customFormat="false" ht="14.3" hidden="false" customHeight="false" outlineLevel="0" collapsed="false">
      <c r="D95" s="0" t="s">
        <v>186</v>
      </c>
      <c r="F95" s="0" t="n">
        <v>0.4</v>
      </c>
    </row>
    <row r="97" customFormat="false" ht="14.3" hidden="false" customHeight="false" outlineLevel="0" collapsed="false">
      <c r="D97" s="0" t="s">
        <v>179</v>
      </c>
      <c r="F97" s="0" t="n">
        <f aca="false">SUM(F91:F95)</f>
        <v>3.3</v>
      </c>
      <c r="G97" s="0" t="s">
        <v>180</v>
      </c>
    </row>
    <row r="100" customFormat="false" ht="14.3" hidden="false" customHeight="false" outlineLevel="0" collapsed="false">
      <c r="D100" s="5" t="s">
        <v>187</v>
      </c>
    </row>
    <row r="103" customFormat="false" ht="14.3" hidden="false" customHeight="false" outlineLevel="0" collapsed="false">
      <c r="D103" s="0" t="s">
        <v>186</v>
      </c>
      <c r="F103" s="0" t="n">
        <v>0.8</v>
      </c>
    </row>
    <row r="104" customFormat="false" ht="14.3" hidden="false" customHeight="false" outlineLevel="0" collapsed="false">
      <c r="D104" s="0" t="s">
        <v>186</v>
      </c>
      <c r="F104" s="0" t="n">
        <v>0.4</v>
      </c>
    </row>
    <row r="105" customFormat="false" ht="14.3" hidden="false" customHeight="false" outlineLevel="0" collapsed="false">
      <c r="D105" s="0" t="s">
        <v>119</v>
      </c>
      <c r="F105" s="0" t="n">
        <v>0.4</v>
      </c>
    </row>
    <row r="108" customFormat="false" ht="14.3" hidden="false" customHeight="false" outlineLevel="0" collapsed="false">
      <c r="D108" s="0" t="s">
        <v>179</v>
      </c>
      <c r="F108" s="0" t="n">
        <f aca="false">SUM(F102:F106)</f>
        <v>1.6</v>
      </c>
      <c r="G108" s="0" t="s">
        <v>180</v>
      </c>
    </row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66"/>
  <sheetViews>
    <sheetView windowProtection="false" showFormulas="false" showGridLines="true" showRowColHeaders="true" showZeros="true" rightToLeft="false" tabSelected="false" showOutlineSymbols="true" defaultGridColor="true" view="normal" topLeftCell="M1" colorId="64" zoomScale="120" zoomScaleNormal="120" zoomScalePageLayoutView="100" workbookViewId="0">
      <selection pane="topLeft" activeCell="S7" activeCellId="0" sqref="S7"/>
    </sheetView>
  </sheetViews>
  <sheetFormatPr defaultRowHeight="12.8"/>
  <cols>
    <col collapsed="false" hidden="false" max="2" min="2" style="0" width="21.8316326530612"/>
    <col collapsed="false" hidden="false" max="3" min="3" style="1" width="9.05102040816327"/>
    <col collapsed="false" hidden="false" max="8" min="8" style="22" width="9.05102040816327"/>
    <col collapsed="false" hidden="false" max="9" min="9" style="0" width="9.63775510204082"/>
    <col collapsed="false" hidden="false" max="17" min="17" style="0" width="10.1326530612245"/>
    <col collapsed="false" hidden="false" max="21" min="21" style="0" width="11.6020408163265"/>
  </cols>
  <sheetData>
    <row r="2" customFormat="false" ht="20.15" hidden="false" customHeight="true" outlineLevel="0" collapsed="false">
      <c r="B2" s="8" t="s">
        <v>188</v>
      </c>
      <c r="C2" s="9"/>
    </row>
    <row r="4" customFormat="false" ht="14.1" hidden="false" customHeight="true" outlineLevel="0" collapsed="false">
      <c r="K4" s="23" t="s">
        <v>189</v>
      </c>
    </row>
    <row r="5" customFormat="false" ht="14.1" hidden="false" customHeight="true" outlineLevel="0" collapsed="false">
      <c r="B5" s="5" t="s">
        <v>190</v>
      </c>
      <c r="C5" s="7" t="s">
        <v>191</v>
      </c>
      <c r="D5" s="7" t="s">
        <v>192</v>
      </c>
      <c r="E5" s="7"/>
      <c r="F5" s="24" t="s">
        <v>193</v>
      </c>
      <c r="G5" s="24"/>
      <c r="H5" s="25"/>
      <c r="I5" s="26"/>
    </row>
    <row r="6" customFormat="false" ht="14.1" hidden="false" customHeight="true" outlineLevel="0" collapsed="false">
      <c r="B6" s="5"/>
      <c r="C6" s="7"/>
      <c r="D6" s="5"/>
      <c r="E6" s="5"/>
      <c r="F6" s="5"/>
      <c r="G6" s="5"/>
      <c r="H6" s="5"/>
      <c r="I6" s="26"/>
      <c r="S6" s="0" t="s">
        <v>194</v>
      </c>
    </row>
    <row r="7" customFormat="false" ht="14.1" hidden="false" customHeight="true" outlineLevel="0" collapsed="false">
      <c r="B7" s="5" t="s">
        <v>195</v>
      </c>
      <c r="C7" s="7"/>
      <c r="D7" s="27" t="s">
        <v>196</v>
      </c>
      <c r="E7" s="28" t="s">
        <v>151</v>
      </c>
      <c r="F7" s="27" t="s">
        <v>196</v>
      </c>
      <c r="G7" s="6" t="s">
        <v>151</v>
      </c>
      <c r="H7" s="28" t="s">
        <v>197</v>
      </c>
      <c r="I7" s="24" t="s">
        <v>197</v>
      </c>
      <c r="K7" s="26"/>
      <c r="S7" s="0" t="s">
        <v>198</v>
      </c>
    </row>
    <row r="8" customFormat="false" ht="14.1" hidden="false" customHeight="true" outlineLevel="0" collapsed="false">
      <c r="B8" s="5"/>
      <c r="C8" s="7"/>
      <c r="D8" s="6" t="s">
        <v>199</v>
      </c>
      <c r="E8" s="28"/>
      <c r="F8" s="6" t="s">
        <v>199</v>
      </c>
      <c r="G8" s="6"/>
      <c r="H8" s="28"/>
      <c r="I8" s="24" t="s">
        <v>200</v>
      </c>
      <c r="K8" s="26"/>
      <c r="S8" s="0" t="s">
        <v>201</v>
      </c>
    </row>
    <row r="9" customFormat="false" ht="14.1" hidden="false" customHeight="true" outlineLevel="0" collapsed="false">
      <c r="B9" s="5"/>
      <c r="C9" s="7"/>
      <c r="D9" s="6" t="s">
        <v>202</v>
      </c>
      <c r="E9" s="6" t="s">
        <v>202</v>
      </c>
      <c r="F9" s="6" t="s">
        <v>202</v>
      </c>
      <c r="G9" s="6" t="s">
        <v>202</v>
      </c>
      <c r="H9" s="28"/>
      <c r="I9" s="26"/>
      <c r="S9" s="0" t="s">
        <v>203</v>
      </c>
    </row>
    <row r="10" customFormat="false" ht="14.1" hidden="false" customHeight="true" outlineLevel="0" collapsed="false">
      <c r="I10" s="26"/>
    </row>
    <row r="11" customFormat="false" ht="14.1" hidden="false" customHeight="true" outlineLevel="0" collapsed="false">
      <c r="I11" s="26"/>
      <c r="T11" s="1"/>
      <c r="U11" s="1"/>
      <c r="V11" s="1" t="s">
        <v>204</v>
      </c>
      <c r="W11" s="1"/>
      <c r="X11" s="1" t="s">
        <v>204</v>
      </c>
      <c r="Y11" s="1"/>
      <c r="AB11" s="0" t="s">
        <v>205</v>
      </c>
    </row>
    <row r="12" customFormat="false" ht="14.1" hidden="false" customHeight="true" outlineLevel="0" collapsed="false">
      <c r="B12" s="0" t="s">
        <v>206</v>
      </c>
      <c r="C12" s="1" t="n">
        <v>1</v>
      </c>
      <c r="D12" s="0" t="n">
        <f aca="false">E12-N12</f>
        <v>302</v>
      </c>
      <c r="E12" s="5" t="n">
        <v>407</v>
      </c>
      <c r="F12" s="0" t="n">
        <f aca="false">G12-P12</f>
        <v>335</v>
      </c>
      <c r="G12" s="5" t="n">
        <v>411</v>
      </c>
      <c r="H12" s="22" t="n">
        <f aca="false">(D12/E12)/(F12/G12)</f>
        <v>0.910352414830027</v>
      </c>
      <c r="I12" s="26" t="n">
        <f aca="false">G12*H12</f>
        <v>374.154842495141</v>
      </c>
      <c r="J12" s="12" t="s">
        <v>207</v>
      </c>
      <c r="K12" s="0" t="s">
        <v>208</v>
      </c>
      <c r="M12" s="1" t="s">
        <v>209</v>
      </c>
      <c r="N12" s="7" t="n">
        <v>105</v>
      </c>
      <c r="O12" s="1" t="s">
        <v>193</v>
      </c>
      <c r="P12" s="7" t="n">
        <v>76</v>
      </c>
      <c r="S12" s="1"/>
      <c r="T12" s="1"/>
      <c r="U12" s="1"/>
      <c r="V12" s="1" t="s">
        <v>202</v>
      </c>
      <c r="W12" s="1"/>
      <c r="X12" s="1" t="s">
        <v>210</v>
      </c>
      <c r="Y12" s="1"/>
      <c r="Z12" s="1"/>
      <c r="AA12" s="1"/>
      <c r="AB12" s="1"/>
    </row>
    <row r="13" customFormat="false" ht="14.1" hidden="false" customHeight="true" outlineLevel="0" collapsed="false">
      <c r="A13" s="12" t="s">
        <v>211</v>
      </c>
      <c r="E13" s="5"/>
      <c r="G13" s="5"/>
      <c r="I13" s="26"/>
      <c r="J13" s="12"/>
      <c r="M13" s="1"/>
      <c r="N13" s="7"/>
      <c r="O13" s="1"/>
      <c r="P13" s="7"/>
      <c r="S13" s="1" t="s">
        <v>211</v>
      </c>
      <c r="T13" s="1"/>
      <c r="U13" s="1"/>
      <c r="V13" s="7" t="n">
        <f aca="false">AD18</f>
        <v>868</v>
      </c>
      <c r="W13" s="1" t="s">
        <v>212</v>
      </c>
      <c r="X13" s="7" t="n">
        <f aca="false">AE18</f>
        <v>676</v>
      </c>
      <c r="Y13" s="1" t="s">
        <v>212</v>
      </c>
      <c r="Z13" s="1"/>
      <c r="AA13" s="1"/>
      <c r="AB13" s="7" t="s">
        <v>213</v>
      </c>
      <c r="AC13" s="7" t="s">
        <v>214</v>
      </c>
      <c r="AD13" s="7" t="s">
        <v>202</v>
      </c>
      <c r="AE13" s="7" t="s">
        <v>215</v>
      </c>
      <c r="AF13" s="1"/>
      <c r="AG13" s="1"/>
      <c r="AH13" s="1"/>
      <c r="AI13" s="1"/>
      <c r="AK13" s="1"/>
      <c r="AL13" s="1"/>
      <c r="AM13" s="1"/>
    </row>
    <row r="14" customFormat="false" ht="14.1" hidden="false" customHeight="true" outlineLevel="0" collapsed="false">
      <c r="A14" s="12" t="s">
        <v>216</v>
      </c>
      <c r="B14" s="0" t="s">
        <v>217</v>
      </c>
      <c r="C14" s="1" t="n">
        <v>1</v>
      </c>
      <c r="D14" s="0" t="n">
        <f aca="false">E14-N14</f>
        <v>212</v>
      </c>
      <c r="E14" s="5" t="n">
        <v>277</v>
      </c>
      <c r="F14" s="29" t="n">
        <f aca="false">X14</f>
        <v>157.222502099076</v>
      </c>
      <c r="G14" s="29" t="n">
        <f aca="false">V14</f>
        <v>201.877413937867</v>
      </c>
      <c r="H14" s="22" t="n">
        <f aca="false">(D14/E14)/(F14/G14)</f>
        <v>0.982718475637109</v>
      </c>
      <c r="I14" s="26" t="n">
        <f aca="false">G14*H14</f>
        <v>198.388664490583</v>
      </c>
      <c r="J14" s="12" t="s">
        <v>207</v>
      </c>
      <c r="K14" s="0" t="s">
        <v>208</v>
      </c>
      <c r="M14" s="1" t="s">
        <v>209</v>
      </c>
      <c r="N14" s="7" t="n">
        <v>65</v>
      </c>
      <c r="O14" s="1" t="s">
        <v>193</v>
      </c>
      <c r="P14" s="7" t="n">
        <v>52</v>
      </c>
      <c r="R14" s="0" t="s">
        <v>218</v>
      </c>
      <c r="S14" s="1" t="s">
        <v>216</v>
      </c>
      <c r="T14" s="7" t="n">
        <v>277</v>
      </c>
      <c r="U14" s="1" t="n">
        <f aca="false">T14/T$18</f>
        <v>0.232577665827036</v>
      </c>
      <c r="V14" s="30" t="n">
        <f aca="false">U14*V$13</f>
        <v>201.877413937867</v>
      </c>
      <c r="W14" s="1" t="n">
        <v>202</v>
      </c>
      <c r="X14" s="30" t="n">
        <f aca="false">U14*X$13</f>
        <v>157.222502099076</v>
      </c>
      <c r="Y14" s="1" t="n">
        <v>157</v>
      </c>
      <c r="Z14" s="1"/>
      <c r="AA14" s="1"/>
      <c r="AB14" s="1" t="n">
        <v>4</v>
      </c>
      <c r="AC14" s="1" t="n">
        <v>52</v>
      </c>
      <c r="AD14" s="1" t="n">
        <v>285</v>
      </c>
      <c r="AE14" s="1" t="n">
        <f aca="false">AD14-AC14</f>
        <v>233</v>
      </c>
      <c r="AF14" s="1"/>
      <c r="AG14" s="1"/>
      <c r="AH14" s="1"/>
      <c r="AI14" s="1"/>
    </row>
    <row r="15" customFormat="false" ht="14.1" hidden="false" customHeight="true" outlineLevel="0" collapsed="false">
      <c r="A15" s="12" t="s">
        <v>219</v>
      </c>
      <c r="B15" s="0" t="s">
        <v>220</v>
      </c>
      <c r="C15" s="1" t="n">
        <v>1</v>
      </c>
      <c r="D15" s="0" t="n">
        <f aca="false">E15-N15</f>
        <v>210</v>
      </c>
      <c r="E15" s="5" t="n">
        <v>275</v>
      </c>
      <c r="F15" s="29" t="n">
        <f aca="false">X15</f>
        <v>156.087321578505</v>
      </c>
      <c r="G15" s="29" t="n">
        <f aca="false">V15</f>
        <v>200.419815281276</v>
      </c>
      <c r="H15" s="22" t="n">
        <f aca="false">(D15/E15)/(F15/G15)</f>
        <v>0.98052716514255</v>
      </c>
      <c r="I15" s="26" t="n">
        <f aca="false">G15*H15</f>
        <v>196.517073316143</v>
      </c>
      <c r="J15" s="12" t="s">
        <v>207</v>
      </c>
      <c r="K15" s="0" t="s">
        <v>208</v>
      </c>
      <c r="M15" s="1" t="s">
        <v>209</v>
      </c>
      <c r="N15" s="7" t="n">
        <v>65</v>
      </c>
      <c r="O15" s="1"/>
      <c r="P15" s="7"/>
      <c r="R15" s="0" t="s">
        <v>218</v>
      </c>
      <c r="S15" s="1" t="s">
        <v>219</v>
      </c>
      <c r="T15" s="7" t="n">
        <v>275</v>
      </c>
      <c r="U15" s="1" t="n">
        <f aca="false">T15/T$18</f>
        <v>0.230898404701931</v>
      </c>
      <c r="V15" s="30" t="n">
        <f aca="false">U15*V$13</f>
        <v>200.419815281276</v>
      </c>
      <c r="W15" s="1" t="n">
        <v>200</v>
      </c>
      <c r="X15" s="30" t="n">
        <f aca="false">U15*X$13</f>
        <v>156.087321578505</v>
      </c>
      <c r="Y15" s="1" t="n">
        <v>156</v>
      </c>
      <c r="Z15" s="1"/>
      <c r="AA15" s="7"/>
      <c r="AB15" s="31" t="n">
        <v>7</v>
      </c>
      <c r="AC15" s="1" t="n">
        <v>66</v>
      </c>
      <c r="AD15" s="1" t="n">
        <v>275</v>
      </c>
      <c r="AE15" s="1" t="n">
        <f aca="false">AD15-AC15</f>
        <v>209</v>
      </c>
      <c r="AF15" s="32"/>
      <c r="AG15" s="1"/>
      <c r="AH15" s="1"/>
      <c r="AI15" s="1"/>
    </row>
    <row r="16" customFormat="false" ht="14.1" hidden="false" customHeight="true" outlineLevel="0" collapsed="false">
      <c r="A16" s="12" t="s">
        <v>221</v>
      </c>
      <c r="B16" s="0" t="s">
        <v>222</v>
      </c>
      <c r="C16" s="1" t="n">
        <v>2</v>
      </c>
      <c r="D16" s="0" t="n">
        <f aca="false">E16-N16</f>
        <v>243</v>
      </c>
      <c r="E16" s="5" t="n">
        <v>308</v>
      </c>
      <c r="F16" s="29" t="n">
        <f aca="false">X16</f>
        <v>174.817800167926</v>
      </c>
      <c r="G16" s="29" t="n">
        <f aca="false">V16</f>
        <v>224.470193115029</v>
      </c>
      <c r="H16" s="22" t="n">
        <f aca="false">(D16/E16)/(F16/G16)</f>
        <v>1.01304464766003</v>
      </c>
      <c r="I16" s="26" t="n">
        <f aca="false">G16*H16</f>
        <v>227.398327694394</v>
      </c>
      <c r="J16" s="12" t="s">
        <v>207</v>
      </c>
      <c r="K16" s="0" t="s">
        <v>208</v>
      </c>
      <c r="M16" s="1" t="s">
        <v>209</v>
      </c>
      <c r="N16" s="7" t="n">
        <v>65</v>
      </c>
      <c r="O16" s="1"/>
      <c r="P16" s="7"/>
      <c r="R16" s="0" t="s">
        <v>218</v>
      </c>
      <c r="S16" s="1" t="s">
        <v>221</v>
      </c>
      <c r="T16" s="7" t="n">
        <v>308</v>
      </c>
      <c r="U16" s="1" t="n">
        <f aca="false">T16/T$18</f>
        <v>0.258606213266163</v>
      </c>
      <c r="V16" s="30" t="n">
        <f aca="false">U16*V$13</f>
        <v>224.470193115029</v>
      </c>
      <c r="W16" s="1" t="n">
        <v>225</v>
      </c>
      <c r="X16" s="30" t="n">
        <f aca="false">U16*X$13</f>
        <v>174.817800167926</v>
      </c>
      <c r="Y16" s="1" t="n">
        <v>175</v>
      </c>
      <c r="Z16" s="1"/>
      <c r="AA16" s="7"/>
      <c r="AB16" s="31" t="n">
        <v>8</v>
      </c>
      <c r="AC16" s="1" t="n">
        <v>74</v>
      </c>
      <c r="AD16" s="1" t="n">
        <v>308</v>
      </c>
      <c r="AE16" s="1" t="n">
        <f aca="false">AD16-AC16</f>
        <v>234</v>
      </c>
      <c r="AF16" s="1"/>
      <c r="AG16" s="1"/>
      <c r="AH16" s="1"/>
      <c r="AI16" s="1"/>
    </row>
    <row r="17" customFormat="false" ht="14.1" hidden="false" customHeight="true" outlineLevel="0" collapsed="false">
      <c r="H17" s="0"/>
      <c r="I17" s="26"/>
      <c r="J17" s="12"/>
      <c r="R17" s="0" t="s">
        <v>223</v>
      </c>
      <c r="S17" s="1" t="s">
        <v>224</v>
      </c>
      <c r="T17" s="7" t="n">
        <v>331</v>
      </c>
      <c r="U17" s="1" t="n">
        <f aca="false">T17/T$18</f>
        <v>0.27791771620487</v>
      </c>
      <c r="V17" s="30" t="n">
        <f aca="false">U17*V$13</f>
        <v>241.232577665827</v>
      </c>
      <c r="W17" s="1" t="n">
        <v>241</v>
      </c>
      <c r="X17" s="30" t="n">
        <f aca="false">U17*X$13</f>
        <v>187.872376154492</v>
      </c>
      <c r="Y17" s="1" t="n">
        <v>188</v>
      </c>
      <c r="Z17" s="1"/>
      <c r="AA17" s="7"/>
      <c r="AJ17" s="1"/>
      <c r="AK17" s="1"/>
      <c r="AL17" s="1"/>
      <c r="AM17" s="1"/>
    </row>
    <row r="18" customFormat="false" ht="14.1" hidden="false" customHeight="true" outlineLevel="0" collapsed="false">
      <c r="B18" s="0" t="s">
        <v>225</v>
      </c>
      <c r="C18" s="1" t="n">
        <v>2</v>
      </c>
      <c r="D18" s="0" t="n">
        <f aca="false">E18-N18</f>
        <v>21</v>
      </c>
      <c r="E18" s="5" t="n">
        <v>32</v>
      </c>
      <c r="F18" s="0" t="n">
        <f aca="false">G18-P18</f>
        <v>21</v>
      </c>
      <c r="G18" s="5" t="n">
        <v>30</v>
      </c>
      <c r="H18" s="22" t="n">
        <f aca="false">(D18/E18)/(F18/G18)</f>
        <v>0.9375</v>
      </c>
      <c r="I18" s="26" t="n">
        <f aca="false">G18*H18</f>
        <v>28.125</v>
      </c>
      <c r="J18" s="12" t="s">
        <v>207</v>
      </c>
      <c r="K18" s="0" t="s">
        <v>208</v>
      </c>
      <c r="M18" s="1" t="s">
        <v>209</v>
      </c>
      <c r="N18" s="7" t="n">
        <v>11</v>
      </c>
      <c r="O18" s="1" t="s">
        <v>193</v>
      </c>
      <c r="P18" s="7" t="n">
        <v>9</v>
      </c>
      <c r="S18" s="1" t="s">
        <v>151</v>
      </c>
      <c r="T18" s="1" t="n">
        <f aca="false">SUM(T14:T17)</f>
        <v>1191</v>
      </c>
      <c r="U18" s="1"/>
      <c r="V18" s="1"/>
      <c r="W18" s="1" t="n">
        <f aca="false">SUM(W14:W17)</f>
        <v>868</v>
      </c>
      <c r="X18" s="1"/>
      <c r="Y18" s="1" t="n">
        <f aca="false">SUM(Y14:Y17)</f>
        <v>676</v>
      </c>
      <c r="Z18" s="1"/>
      <c r="AA18" s="7"/>
      <c r="AC18" s="12" t="s">
        <v>226</v>
      </c>
      <c r="AD18" s="7" t="n">
        <f aca="false">SUM(AD14:AD16)</f>
        <v>868</v>
      </c>
      <c r="AE18" s="7" t="n">
        <f aca="false">SUM(AE14:AE16)</f>
        <v>676</v>
      </c>
      <c r="AJ18" s="1"/>
      <c r="AK18" s="1"/>
      <c r="AL18" s="1"/>
      <c r="AM18" s="1"/>
    </row>
    <row r="19" customFormat="false" ht="14.1" hidden="false" customHeight="true" outlineLevel="0" collapsed="false">
      <c r="B19" s="0" t="s">
        <v>227</v>
      </c>
      <c r="C19" s="1" t="n">
        <v>1</v>
      </c>
      <c r="D19" s="5" t="n">
        <v>125</v>
      </c>
      <c r="E19" s="5" t="n">
        <v>265</v>
      </c>
      <c r="F19" s="5" t="n">
        <v>121</v>
      </c>
      <c r="G19" s="5" t="n">
        <v>263</v>
      </c>
      <c r="H19" s="22" t="n">
        <f aca="false">(D19/E19)/(F19/G19)</f>
        <v>1.02526118821145</v>
      </c>
      <c r="I19" s="26" t="n">
        <f aca="false">G19*H19</f>
        <v>269.64369249961</v>
      </c>
      <c r="J19" s="12"/>
      <c r="Z19" s="1"/>
      <c r="AA19" s="1"/>
      <c r="AB19" s="3"/>
      <c r="AC19" s="3"/>
      <c r="AD19" s="3"/>
    </row>
    <row r="20" customFormat="false" ht="14.1" hidden="false" customHeight="true" outlineLevel="0" collapsed="false">
      <c r="I20" s="26"/>
      <c r="J20" s="12"/>
      <c r="S20" s="1"/>
      <c r="T20" s="1"/>
      <c r="U20" s="1"/>
      <c r="V20" s="1"/>
      <c r="W20" s="1"/>
      <c r="X20" s="1"/>
      <c r="Y20" s="1"/>
      <c r="Z20" s="1"/>
      <c r="AA20" s="1"/>
      <c r="AB20" s="3"/>
      <c r="AC20" s="3"/>
      <c r="AD20" s="3"/>
    </row>
    <row r="21" customFormat="false" ht="14.1" hidden="false" customHeight="true" outlineLevel="0" collapsed="false">
      <c r="B21" s="0" t="s">
        <v>228</v>
      </c>
      <c r="C21" s="1" t="n">
        <v>1</v>
      </c>
      <c r="D21" s="0" t="n">
        <f aca="false">R21+S21</f>
        <v>85</v>
      </c>
      <c r="E21" s="0" t="n">
        <f aca="false">L21+M21</f>
        <v>121</v>
      </c>
      <c r="F21" s="0" t="n">
        <f aca="false">U21+V21</f>
        <v>84</v>
      </c>
      <c r="G21" s="0" t="n">
        <f aca="false">O21+P21</f>
        <v>123</v>
      </c>
      <c r="H21" s="22" t="n">
        <f aca="false">(D21/E21)/(F21/G21)</f>
        <v>1.02863046044864</v>
      </c>
      <c r="I21" s="26" t="n">
        <f aca="false">G21*H21</f>
        <v>126.521546635183</v>
      </c>
      <c r="J21" s="12" t="s">
        <v>207</v>
      </c>
      <c r="K21" s="0" t="s">
        <v>229</v>
      </c>
      <c r="L21" s="7" t="n">
        <v>56</v>
      </c>
      <c r="M21" s="7" t="n">
        <v>65</v>
      </c>
      <c r="N21" s="0" t="s">
        <v>230</v>
      </c>
      <c r="O21" s="7" t="n">
        <v>57</v>
      </c>
      <c r="P21" s="7" t="n">
        <v>66</v>
      </c>
      <c r="Q21" s="0" t="s">
        <v>231</v>
      </c>
      <c r="R21" s="7" t="n">
        <v>38</v>
      </c>
      <c r="S21" s="7" t="n">
        <v>47</v>
      </c>
      <c r="T21" s="0" t="s">
        <v>232</v>
      </c>
      <c r="U21" s="7" t="n">
        <v>38</v>
      </c>
      <c r="V21" s="7" t="n">
        <v>46</v>
      </c>
      <c r="Z21" s="1"/>
      <c r="AA21" s="1"/>
    </row>
    <row r="22" customFormat="false" ht="14.1" hidden="false" customHeight="true" outlineLevel="0" collapsed="false">
      <c r="B22" s="0" t="s">
        <v>233</v>
      </c>
      <c r="C22" s="1" t="n">
        <v>1</v>
      </c>
      <c r="D22" s="0" t="n">
        <f aca="false">E22-N22</f>
        <v>31</v>
      </c>
      <c r="E22" s="5" t="n">
        <v>47</v>
      </c>
      <c r="F22" s="0" t="n">
        <f aca="false">G22-P22</f>
        <v>37</v>
      </c>
      <c r="G22" s="5" t="n">
        <v>43</v>
      </c>
      <c r="H22" s="22" t="n">
        <f aca="false">(D22/E22)/(F22/G22)</f>
        <v>0.766532489936745</v>
      </c>
      <c r="I22" s="26" t="n">
        <f aca="false">G22*H22</f>
        <v>32.96089706728</v>
      </c>
      <c r="J22" s="12" t="s">
        <v>207</v>
      </c>
      <c r="K22" s="0" t="s">
        <v>208</v>
      </c>
      <c r="M22" s="1" t="s">
        <v>209</v>
      </c>
      <c r="N22" s="7" t="n">
        <v>16</v>
      </c>
      <c r="O22" s="1" t="s">
        <v>193</v>
      </c>
      <c r="P22" s="7" t="n">
        <v>6</v>
      </c>
    </row>
    <row r="23" customFormat="false" ht="14.1" hidden="false" customHeight="true" outlineLevel="0" collapsed="false">
      <c r="B23" s="0" t="s">
        <v>234</v>
      </c>
      <c r="C23" s="1" t="n">
        <v>1</v>
      </c>
      <c r="D23" s="0" t="n">
        <f aca="false">E23-R23-S23</f>
        <v>48</v>
      </c>
      <c r="E23" s="0" t="n">
        <f aca="false">L23+M23</f>
        <v>67</v>
      </c>
      <c r="F23" s="0" t="n">
        <f aca="false">G23-U23-V23</f>
        <v>50</v>
      </c>
      <c r="G23" s="0" t="n">
        <f aca="false">O23+P23</f>
        <v>70</v>
      </c>
      <c r="H23" s="22" t="n">
        <f aca="false">(D23/E23)/(F23/G23)</f>
        <v>1.00298507462687</v>
      </c>
      <c r="I23" s="26" t="n">
        <f aca="false">G23*H23</f>
        <v>70.2089552238806</v>
      </c>
      <c r="J23" s="12" t="s">
        <v>207</v>
      </c>
      <c r="K23" s="0" t="s">
        <v>229</v>
      </c>
      <c r="L23" s="7" t="n">
        <v>42</v>
      </c>
      <c r="M23" s="7" t="n">
        <v>25</v>
      </c>
      <c r="N23" s="0" t="s">
        <v>230</v>
      </c>
      <c r="O23" s="7" t="n">
        <v>47</v>
      </c>
      <c r="P23" s="7" t="n">
        <v>23</v>
      </c>
      <c r="Q23" s="0" t="s">
        <v>235</v>
      </c>
      <c r="R23" s="7" t="n">
        <v>10</v>
      </c>
      <c r="S23" s="7" t="n">
        <v>9</v>
      </c>
      <c r="T23" s="0" t="s">
        <v>236</v>
      </c>
      <c r="U23" s="7" t="n">
        <v>15</v>
      </c>
      <c r="V23" s="7" t="n">
        <v>5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customFormat="false" ht="14.1" hidden="false" customHeight="true" outlineLevel="0" collapsed="false">
      <c r="B24" s="0" t="s">
        <v>237</v>
      </c>
      <c r="C24" s="1" t="n">
        <v>1</v>
      </c>
      <c r="D24" s="5" t="n">
        <v>19</v>
      </c>
      <c r="E24" s="5" t="n">
        <v>190</v>
      </c>
      <c r="F24" s="5" t="n">
        <v>23</v>
      </c>
      <c r="G24" s="5" t="n">
        <v>192</v>
      </c>
      <c r="H24" s="22" t="n">
        <f aca="false">(D24/E24)/(F24/G24)</f>
        <v>0.834782608695652</v>
      </c>
      <c r="I24" s="26" t="n">
        <f aca="false">G24*H24</f>
        <v>160.278260869565</v>
      </c>
      <c r="J24" s="1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customFormat="false" ht="14.1" hidden="false" customHeight="true" outlineLevel="0" collapsed="false">
      <c r="B25" s="0" t="s">
        <v>238</v>
      </c>
      <c r="C25" s="1" t="n">
        <v>2</v>
      </c>
      <c r="D25" s="5" t="n">
        <v>16</v>
      </c>
      <c r="E25" s="5" t="n">
        <v>131</v>
      </c>
      <c r="F25" s="5" t="n">
        <v>17</v>
      </c>
      <c r="G25" s="5" t="n">
        <v>128</v>
      </c>
      <c r="H25" s="22" t="n">
        <f aca="false">(D25/E25)/(F25/G25)</f>
        <v>0.919622810956444</v>
      </c>
      <c r="I25" s="26" t="n">
        <f aca="false">G25*H25</f>
        <v>117.711719802425</v>
      </c>
      <c r="J25" s="12"/>
    </row>
    <row r="26" customFormat="false" ht="14.1" hidden="false" customHeight="true" outlineLevel="0" collapsed="false">
      <c r="B26" s="0" t="s">
        <v>239</v>
      </c>
      <c r="C26" s="1" t="n">
        <v>1</v>
      </c>
      <c r="D26" s="0" t="n">
        <f aca="false">R26+S26</f>
        <v>98</v>
      </c>
      <c r="E26" s="0" t="n">
        <f aca="false">L26+M26</f>
        <v>428</v>
      </c>
      <c r="F26" s="0" t="n">
        <f aca="false">U26+V26</f>
        <v>98</v>
      </c>
      <c r="G26" s="0" t="n">
        <f aca="false">O26+P26</f>
        <v>428</v>
      </c>
      <c r="H26" s="22" t="n">
        <f aca="false">(D26/E26)/(F26/G26)</f>
        <v>1</v>
      </c>
      <c r="I26" s="26" t="n">
        <f aca="false">G26*H26</f>
        <v>428</v>
      </c>
      <c r="J26" s="12" t="s">
        <v>207</v>
      </c>
      <c r="K26" s="0" t="s">
        <v>229</v>
      </c>
      <c r="L26" s="7" t="n">
        <v>213</v>
      </c>
      <c r="M26" s="7" t="n">
        <v>215</v>
      </c>
      <c r="N26" s="0" t="s">
        <v>230</v>
      </c>
      <c r="O26" s="7" t="n">
        <v>207</v>
      </c>
      <c r="P26" s="7" t="n">
        <v>221</v>
      </c>
      <c r="Q26" s="0" t="s">
        <v>231</v>
      </c>
      <c r="R26" s="7" t="n">
        <v>38</v>
      </c>
      <c r="S26" s="7" t="n">
        <v>60</v>
      </c>
      <c r="T26" s="0" t="s">
        <v>232</v>
      </c>
      <c r="U26" s="7" t="n">
        <v>43</v>
      </c>
      <c r="V26" s="7" t="n">
        <v>55</v>
      </c>
    </row>
    <row r="27" customFormat="false" ht="14.1" hidden="false" customHeight="true" outlineLevel="0" collapsed="false">
      <c r="B27" s="0" t="s">
        <v>240</v>
      </c>
      <c r="C27" s="1" t="n">
        <v>1</v>
      </c>
      <c r="D27" s="0" t="n">
        <f aca="false">E27-N27</f>
        <v>296</v>
      </c>
      <c r="E27" s="5" t="n">
        <v>339</v>
      </c>
      <c r="F27" s="0" t="n">
        <f aca="false">G27-P27</f>
        <v>298</v>
      </c>
      <c r="G27" s="5" t="n">
        <v>349</v>
      </c>
      <c r="H27" s="22" t="n">
        <f aca="false">(D27/E27)/(F27/G27)</f>
        <v>1.02258913899943</v>
      </c>
      <c r="I27" s="26" t="n">
        <f aca="false">G27*H27</f>
        <v>356.8836095108</v>
      </c>
      <c r="J27" s="12" t="s">
        <v>207</v>
      </c>
      <c r="K27" s="0" t="s">
        <v>208</v>
      </c>
      <c r="M27" s="1" t="s">
        <v>209</v>
      </c>
      <c r="N27" s="7" t="n">
        <v>43</v>
      </c>
      <c r="O27" s="1" t="s">
        <v>193</v>
      </c>
      <c r="P27" s="7" t="n">
        <v>51</v>
      </c>
    </row>
    <row r="28" customFormat="false" ht="14.1" hidden="false" customHeight="true" outlineLevel="0" collapsed="false">
      <c r="B28" s="0" t="s">
        <v>241</v>
      </c>
      <c r="C28" s="1" t="n">
        <v>1</v>
      </c>
      <c r="D28" s="5" t="n">
        <v>10</v>
      </c>
      <c r="E28" s="5" t="n">
        <v>23</v>
      </c>
      <c r="F28" s="5" t="n">
        <v>8</v>
      </c>
      <c r="G28" s="5" t="n">
        <v>25</v>
      </c>
      <c r="H28" s="22" t="n">
        <f aca="false">(D28/E28)/(F28/G28)</f>
        <v>1.35869565217391</v>
      </c>
      <c r="I28" s="26" t="n">
        <f aca="false">G28*H28</f>
        <v>33.9673913043478</v>
      </c>
      <c r="J28" s="12"/>
    </row>
    <row r="29" customFormat="false" ht="14.1" hidden="false" customHeight="true" outlineLevel="0" collapsed="false">
      <c r="B29" s="0" t="s">
        <v>242</v>
      </c>
      <c r="C29" s="1" t="n">
        <v>1</v>
      </c>
      <c r="D29" s="5" t="n">
        <v>7</v>
      </c>
      <c r="E29" s="5" t="n">
        <v>15</v>
      </c>
      <c r="F29" s="5" t="n">
        <v>11</v>
      </c>
      <c r="G29" s="5" t="n">
        <v>13</v>
      </c>
      <c r="H29" s="22" t="n">
        <f aca="false">(D29/E29)/(F29/G29)</f>
        <v>0.551515151515152</v>
      </c>
      <c r="I29" s="26" t="n">
        <f aca="false">G29*H29</f>
        <v>7.16969696969697</v>
      </c>
      <c r="J29" s="12"/>
    </row>
    <row r="30" customFormat="false" ht="14.1" hidden="false" customHeight="true" outlineLevel="0" collapsed="false">
      <c r="B30" s="0" t="s">
        <v>243</v>
      </c>
      <c r="C30" s="1" t="n">
        <v>2</v>
      </c>
      <c r="D30" s="0" t="n">
        <f aca="false">R30+S30</f>
        <v>10</v>
      </c>
      <c r="E30" s="0" t="n">
        <f aca="false">L30+M30</f>
        <v>33</v>
      </c>
      <c r="F30" s="0" t="n">
        <f aca="false">U30+V30</f>
        <v>9</v>
      </c>
      <c r="G30" s="0" t="n">
        <f aca="false">O30+P30</f>
        <v>33</v>
      </c>
      <c r="H30" s="22" t="n">
        <f aca="false">(D30/E30)/(F30/G30)</f>
        <v>1.11111111111111</v>
      </c>
      <c r="I30" s="26" t="n">
        <f aca="false">G30*H30</f>
        <v>36.6666666666667</v>
      </c>
      <c r="J30" s="12" t="s">
        <v>207</v>
      </c>
      <c r="K30" s="0" t="s">
        <v>229</v>
      </c>
      <c r="L30" s="7" t="n">
        <v>25</v>
      </c>
      <c r="M30" s="7" t="n">
        <v>8</v>
      </c>
      <c r="N30" s="0" t="s">
        <v>230</v>
      </c>
      <c r="O30" s="7" t="n">
        <v>15</v>
      </c>
      <c r="P30" s="7" t="n">
        <v>18</v>
      </c>
      <c r="Q30" s="0" t="s">
        <v>231</v>
      </c>
      <c r="R30" s="7" t="n">
        <v>6</v>
      </c>
      <c r="S30" s="7" t="n">
        <v>4</v>
      </c>
      <c r="T30" s="0" t="s">
        <v>232</v>
      </c>
      <c r="U30" s="7" t="n">
        <v>5</v>
      </c>
      <c r="V30" s="7" t="n">
        <v>4</v>
      </c>
    </row>
    <row r="31" customFormat="false" ht="14.1" hidden="false" customHeight="true" outlineLevel="0" collapsed="false">
      <c r="B31" s="0" t="s">
        <v>244</v>
      </c>
      <c r="C31" s="1" t="n">
        <v>1</v>
      </c>
      <c r="D31" s="0" t="n">
        <f aca="false">E31-N31</f>
        <v>49</v>
      </c>
      <c r="E31" s="5" t="n">
        <v>80</v>
      </c>
      <c r="F31" s="0" t="n">
        <f aca="false">G31-P31</f>
        <v>44</v>
      </c>
      <c r="G31" s="5" t="n">
        <v>78</v>
      </c>
      <c r="H31" s="22" t="n">
        <f aca="false">(D31/E31)/(F31/G31)</f>
        <v>1.08579545454545</v>
      </c>
      <c r="I31" s="26" t="n">
        <f aca="false">G31*H31</f>
        <v>84.6920454545455</v>
      </c>
      <c r="J31" s="12" t="s">
        <v>207</v>
      </c>
      <c r="K31" s="0" t="s">
        <v>208</v>
      </c>
      <c r="M31" s="1" t="s">
        <v>209</v>
      </c>
      <c r="N31" s="7" t="n">
        <v>31</v>
      </c>
      <c r="O31" s="1" t="s">
        <v>193</v>
      </c>
      <c r="P31" s="7" t="n">
        <v>34</v>
      </c>
    </row>
    <row r="32" customFormat="false" ht="14.1" hidden="false" customHeight="true" outlineLevel="0" collapsed="false">
      <c r="B32" s="0" t="s">
        <v>245</v>
      </c>
      <c r="C32" s="1" t="n">
        <v>1</v>
      </c>
      <c r="D32" s="0" t="n">
        <f aca="false">E32-N32</f>
        <v>230</v>
      </c>
      <c r="E32" s="5" t="n">
        <v>304</v>
      </c>
      <c r="F32" s="0" t="n">
        <f aca="false">G32-P32</f>
        <v>240</v>
      </c>
      <c r="G32" s="5" t="n">
        <v>311</v>
      </c>
      <c r="H32" s="22" t="n">
        <f aca="false">(D32/E32)/(F32/G32)</f>
        <v>0.980400219298246</v>
      </c>
      <c r="I32" s="26" t="n">
        <f aca="false">G32*H32</f>
        <v>304.904468201754</v>
      </c>
      <c r="J32" s="12" t="s">
        <v>207</v>
      </c>
      <c r="K32" s="0" t="s">
        <v>246</v>
      </c>
      <c r="M32" s="1" t="s">
        <v>209</v>
      </c>
      <c r="N32" s="7" t="n">
        <v>74</v>
      </c>
      <c r="O32" s="1" t="s">
        <v>193</v>
      </c>
      <c r="P32" s="7" t="n">
        <v>71</v>
      </c>
    </row>
    <row r="33" customFormat="false" ht="14.1" hidden="false" customHeight="true" outlineLevel="0" collapsed="false">
      <c r="B33" s="0" t="s">
        <v>247</v>
      </c>
      <c r="C33" s="1" t="n">
        <v>2</v>
      </c>
      <c r="D33" s="0" t="n">
        <f aca="false">(1-N33)*E33</f>
        <v>297.9</v>
      </c>
      <c r="E33" s="5" t="n">
        <v>331</v>
      </c>
      <c r="F33" s="0" t="n">
        <f aca="false">(1-P33)*G33</f>
        <v>308.7</v>
      </c>
      <c r="G33" s="5" t="n">
        <v>343</v>
      </c>
      <c r="H33" s="22" t="n">
        <f aca="false">(D33/E33)/(F33/G33)</f>
        <v>1</v>
      </c>
      <c r="I33" s="26" t="n">
        <f aca="false">G33*H33</f>
        <v>343</v>
      </c>
      <c r="J33" s="12" t="s">
        <v>207</v>
      </c>
      <c r="K33" s="0" t="s">
        <v>246</v>
      </c>
      <c r="M33" s="1" t="s">
        <v>209</v>
      </c>
      <c r="N33" s="33" t="n">
        <v>0.1</v>
      </c>
      <c r="O33" s="1" t="s">
        <v>193</v>
      </c>
      <c r="P33" s="33" t="n">
        <v>0.1</v>
      </c>
    </row>
    <row r="34" customFormat="false" ht="14.1" hidden="false" customHeight="true" outlineLevel="0" collapsed="false">
      <c r="B34" s="0" t="s">
        <v>248</v>
      </c>
      <c r="C34" s="1" t="n">
        <v>1</v>
      </c>
      <c r="D34" s="0" t="n">
        <f aca="false">N34-S34</f>
        <v>35</v>
      </c>
      <c r="E34" s="5" t="n">
        <v>84</v>
      </c>
      <c r="F34" s="0" t="n">
        <f aca="false">P34-U34</f>
        <v>34</v>
      </c>
      <c r="G34" s="5" t="n">
        <v>84</v>
      </c>
      <c r="H34" s="22" t="n">
        <f aca="false">(D34/E34)/(F34/G34)</f>
        <v>1.02941176470588</v>
      </c>
      <c r="I34" s="26" t="n">
        <f aca="false">G34*H34</f>
        <v>86.4705882352941</v>
      </c>
      <c r="J34" s="12" t="s">
        <v>207</v>
      </c>
      <c r="K34" s="0" t="s">
        <v>249</v>
      </c>
      <c r="M34" s="1" t="s">
        <v>209</v>
      </c>
      <c r="N34" s="7" t="n">
        <v>37</v>
      </c>
      <c r="O34" s="1" t="s">
        <v>193</v>
      </c>
      <c r="P34" s="7" t="n">
        <v>50</v>
      </c>
      <c r="Q34" s="0" t="s">
        <v>250</v>
      </c>
      <c r="R34" s="1" t="s">
        <v>209</v>
      </c>
      <c r="S34" s="7" t="n">
        <v>2</v>
      </c>
      <c r="T34" s="1" t="s">
        <v>193</v>
      </c>
      <c r="U34" s="7" t="n">
        <v>16</v>
      </c>
    </row>
    <row r="35" customFormat="false" ht="14.1" hidden="false" customHeight="true" outlineLevel="0" collapsed="false">
      <c r="H35" s="0"/>
      <c r="I35" s="26"/>
      <c r="J35" s="12"/>
    </row>
    <row r="36" customFormat="false" ht="14.1" hidden="false" customHeight="true" outlineLevel="0" collapsed="false">
      <c r="B36" s="6" t="s">
        <v>179</v>
      </c>
      <c r="C36" s="7"/>
      <c r="D36" s="7" t="n">
        <f aca="false">SUM(D12:D34)</f>
        <v>2344.9</v>
      </c>
      <c r="E36" s="7" t="n">
        <f aca="false">SUM(E12:E34)</f>
        <v>3757</v>
      </c>
      <c r="F36" s="34" t="n">
        <f aca="false">SUM(F12:F34)</f>
        <v>2226.82762384551</v>
      </c>
      <c r="G36" s="34" t="n">
        <f aca="false">SUM(G12:G34)</f>
        <v>3550.76742233417</v>
      </c>
      <c r="H36" s="0"/>
      <c r="I36" s="34" t="n">
        <f aca="false">SUM(I12:I34)</f>
        <v>3483.66344643731</v>
      </c>
      <c r="J36" s="12"/>
    </row>
    <row r="37" customFormat="false" ht="14.1" hidden="false" customHeight="true" outlineLevel="0" collapsed="false">
      <c r="B37" s="6" t="s">
        <v>172</v>
      </c>
      <c r="C37" s="7"/>
      <c r="D37" s="7" t="n">
        <f aca="false">COUNT(D12:D34)</f>
        <v>20</v>
      </c>
      <c r="G37" s="6" t="s">
        <v>251</v>
      </c>
      <c r="H37" s="25" t="n">
        <f aca="false">I36/G36</f>
        <v>0.981101556955045</v>
      </c>
      <c r="I37" s="26"/>
      <c r="J37" s="12"/>
    </row>
    <row r="38" customFormat="false" ht="14.1" hidden="false" customHeight="true" outlineLevel="0" collapsed="false">
      <c r="G38" s="6" t="s">
        <v>252</v>
      </c>
      <c r="H38" s="25" t="n">
        <f aca="false">MEDIAN(H12:H34)</f>
        <v>1</v>
      </c>
      <c r="I38" s="26"/>
      <c r="J38" s="12"/>
    </row>
    <row r="39" customFormat="false" ht="14.1" hidden="false" customHeight="true" outlineLevel="0" collapsed="false">
      <c r="B39" s="5" t="s">
        <v>253</v>
      </c>
      <c r="C39" s="7"/>
      <c r="I39" s="26"/>
      <c r="J39" s="12"/>
    </row>
    <row r="40" customFormat="false" ht="14.1" hidden="false" customHeight="true" outlineLevel="0" collapsed="false">
      <c r="I40" s="26"/>
      <c r="J40" s="12"/>
    </row>
    <row r="41" customFormat="false" ht="14.1" hidden="false" customHeight="true" outlineLevel="0" collapsed="false">
      <c r="A41" s="12" t="s">
        <v>224</v>
      </c>
      <c r="B41" s="0" t="s">
        <v>254</v>
      </c>
      <c r="C41" s="1" t="n">
        <v>0.25</v>
      </c>
      <c r="D41" s="0" t="n">
        <f aca="false">E41-N41</f>
        <v>257</v>
      </c>
      <c r="E41" s="5" t="n">
        <v>331</v>
      </c>
      <c r="F41" s="29" t="n">
        <f aca="false">X17</f>
        <v>187.872376154492</v>
      </c>
      <c r="G41" s="29" t="n">
        <f aca="false">V17</f>
        <v>241.232577665827</v>
      </c>
      <c r="H41" s="22" t="n">
        <f aca="false">(D41/E41)/(F41/G41)</f>
        <v>0.996960975348147</v>
      </c>
      <c r="I41" s="26" t="n">
        <f aca="false">G41*H41</f>
        <v>240.499465915471</v>
      </c>
      <c r="J41" s="12" t="s">
        <v>207</v>
      </c>
      <c r="K41" s="0" t="s">
        <v>208</v>
      </c>
      <c r="M41" s="1" t="s">
        <v>209</v>
      </c>
      <c r="N41" s="7" t="n">
        <v>74</v>
      </c>
      <c r="O41" s="1"/>
      <c r="P41" s="7"/>
    </row>
    <row r="42" customFormat="false" ht="14.1" hidden="false" customHeight="true" outlineLevel="0" collapsed="false">
      <c r="B42" s="0" t="s">
        <v>255</v>
      </c>
      <c r="C42" s="1" t="n">
        <v>0.2</v>
      </c>
      <c r="D42" s="29" t="n">
        <f aca="false">(1-N42)*E42</f>
        <v>184.08</v>
      </c>
      <c r="E42" s="5" t="n">
        <v>208</v>
      </c>
      <c r="F42" s="0" t="n">
        <v>142</v>
      </c>
      <c r="G42" s="5" t="n">
        <v>155</v>
      </c>
      <c r="H42" s="22" t="n">
        <f aca="false">(D42/E42)/(F42/G42)</f>
        <v>0.966021126760563</v>
      </c>
      <c r="I42" s="26" t="n">
        <f aca="false">G42*H42</f>
        <v>149.733274647887</v>
      </c>
      <c r="J42" s="12" t="s">
        <v>207</v>
      </c>
      <c r="K42" s="0" t="s">
        <v>246</v>
      </c>
      <c r="M42" s="1" t="s">
        <v>209</v>
      </c>
      <c r="N42" s="35" t="n">
        <v>0.115</v>
      </c>
      <c r="O42" s="1" t="s">
        <v>193</v>
      </c>
      <c r="P42" s="35" t="n">
        <v>0.084</v>
      </c>
    </row>
    <row r="43" customFormat="false" ht="14.1" hidden="false" customHeight="true" outlineLevel="0" collapsed="false">
      <c r="B43" s="0" t="s">
        <v>256</v>
      </c>
      <c r="C43" s="1" t="n">
        <v>0.2</v>
      </c>
      <c r="D43" s="0" t="n">
        <f aca="false">R43+S43</f>
        <v>131</v>
      </c>
      <c r="E43" s="0" t="n">
        <f aca="false">L43+M43</f>
        <v>1259</v>
      </c>
      <c r="F43" s="0" t="n">
        <f aca="false">U43+V43</f>
        <v>140</v>
      </c>
      <c r="G43" s="0" t="n">
        <f aca="false">O43+P43</f>
        <v>1266</v>
      </c>
      <c r="H43" s="22" t="n">
        <f aca="false">(D43/E43)/(F43/G43)</f>
        <v>0.940916827414047</v>
      </c>
      <c r="I43" s="26" t="n">
        <f aca="false">G43*H43</f>
        <v>1191.20070350618</v>
      </c>
      <c r="J43" s="12" t="s">
        <v>207</v>
      </c>
      <c r="K43" s="0" t="s">
        <v>229</v>
      </c>
      <c r="L43" s="7" t="n">
        <v>526</v>
      </c>
      <c r="M43" s="7" t="n">
        <v>733</v>
      </c>
      <c r="N43" s="0" t="s">
        <v>230</v>
      </c>
      <c r="O43" s="7" t="n">
        <v>545</v>
      </c>
      <c r="P43" s="7" t="n">
        <v>721</v>
      </c>
      <c r="Q43" s="0" t="s">
        <v>231</v>
      </c>
      <c r="R43" s="7" t="n">
        <v>68</v>
      </c>
      <c r="S43" s="7" t="n">
        <v>63</v>
      </c>
      <c r="T43" s="0" t="s">
        <v>232</v>
      </c>
      <c r="U43" s="7" t="n">
        <v>73</v>
      </c>
      <c r="V43" s="7" t="n">
        <v>67</v>
      </c>
    </row>
    <row r="44" customFormat="false" ht="14.1" hidden="false" customHeight="true" outlineLevel="0" collapsed="false">
      <c r="B44" s="0" t="s">
        <v>257</v>
      </c>
      <c r="C44" s="36" t="n">
        <v>0.195</v>
      </c>
      <c r="D44" s="0" t="n">
        <f aca="false">R44+S44</f>
        <v>14</v>
      </c>
      <c r="E44" s="0" t="n">
        <f aca="false">L44+M44</f>
        <v>44</v>
      </c>
      <c r="F44" s="0" t="n">
        <f aca="false">U44+V44</f>
        <v>15</v>
      </c>
      <c r="G44" s="0" t="n">
        <f aca="false">O44+P44</f>
        <v>45</v>
      </c>
      <c r="H44" s="22" t="n">
        <f aca="false">(D44/E44)/(F44/G44)</f>
        <v>0.954545454545455</v>
      </c>
      <c r="I44" s="26" t="n">
        <f aca="false">G44*H44</f>
        <v>42.9545454545455</v>
      </c>
      <c r="J44" s="12" t="s">
        <v>207</v>
      </c>
      <c r="K44" s="0" t="s">
        <v>229</v>
      </c>
      <c r="L44" s="7" t="n">
        <v>22</v>
      </c>
      <c r="M44" s="7" t="n">
        <v>22</v>
      </c>
      <c r="N44" s="0" t="s">
        <v>230</v>
      </c>
      <c r="O44" s="7" t="n">
        <v>23</v>
      </c>
      <c r="P44" s="7" t="n">
        <v>22</v>
      </c>
      <c r="Q44" s="0" t="s">
        <v>231</v>
      </c>
      <c r="R44" s="7" t="n">
        <v>6</v>
      </c>
      <c r="S44" s="7" t="n">
        <v>8</v>
      </c>
      <c r="T44" s="0" t="s">
        <v>232</v>
      </c>
      <c r="U44" s="7" t="n">
        <v>7</v>
      </c>
      <c r="V44" s="7" t="n">
        <v>8</v>
      </c>
    </row>
    <row r="45" customFormat="false" ht="14.1" hidden="false" customHeight="true" outlineLevel="0" collapsed="false">
      <c r="B45" s="0" t="s">
        <v>258</v>
      </c>
      <c r="C45" s="1" t="n">
        <v>0.25</v>
      </c>
      <c r="D45" s="5" t="n">
        <v>5</v>
      </c>
      <c r="E45" s="0" t="n">
        <f aca="false">L45+M45</f>
        <v>11</v>
      </c>
      <c r="F45" s="5" t="n">
        <v>12</v>
      </c>
      <c r="G45" s="0" t="n">
        <f aca="false">O45+P45</f>
        <v>19</v>
      </c>
      <c r="H45" s="22" t="n">
        <f aca="false">(D45/E45)/(F45/G45)</f>
        <v>0.71969696969697</v>
      </c>
      <c r="I45" s="26" t="n">
        <f aca="false">G45*H45</f>
        <v>13.6742424242424</v>
      </c>
      <c r="J45" s="12" t="s">
        <v>207</v>
      </c>
      <c r="K45" s="0" t="s">
        <v>229</v>
      </c>
      <c r="L45" s="7" t="n">
        <v>6</v>
      </c>
      <c r="M45" s="7" t="n">
        <v>5</v>
      </c>
      <c r="N45" s="0" t="s">
        <v>230</v>
      </c>
      <c r="O45" s="7" t="n">
        <v>7</v>
      </c>
      <c r="P45" s="7" t="n">
        <v>12</v>
      </c>
    </row>
    <row r="46" customFormat="false" ht="14.1" hidden="false" customHeight="true" outlineLevel="0" collapsed="false">
      <c r="B46" s="0" t="s">
        <v>259</v>
      </c>
      <c r="C46" s="1" t="n">
        <v>0.6</v>
      </c>
      <c r="D46" s="0" t="n">
        <f aca="false">L46+M46</f>
        <v>18</v>
      </c>
      <c r="E46" s="5" t="n">
        <v>34</v>
      </c>
      <c r="F46" s="0" t="n">
        <f aca="false">O46+V46</f>
        <v>18</v>
      </c>
      <c r="G46" s="5" t="n">
        <v>39</v>
      </c>
      <c r="H46" s="22" t="n">
        <f aca="false">(D46/E46)/(F46/G46)</f>
        <v>1.14705882352941</v>
      </c>
      <c r="I46" s="26" t="n">
        <f aca="false">G46*H46</f>
        <v>44.7352941176471</v>
      </c>
      <c r="J46" s="12" t="s">
        <v>207</v>
      </c>
      <c r="K46" s="0" t="s">
        <v>231</v>
      </c>
      <c r="L46" s="7" t="n">
        <v>18</v>
      </c>
      <c r="M46" s="7"/>
      <c r="N46" s="0" t="s">
        <v>232</v>
      </c>
      <c r="O46" s="7" t="n">
        <v>18</v>
      </c>
      <c r="P46" s="7"/>
      <c r="V46" s="7"/>
    </row>
    <row r="47" customFormat="false" ht="14.1" hidden="false" customHeight="true" outlineLevel="0" collapsed="false">
      <c r="B47" s="0" t="s">
        <v>260</v>
      </c>
      <c r="C47" s="1" t="n">
        <v>0.5</v>
      </c>
      <c r="D47" s="29" t="n">
        <f aca="false">L47*E47</f>
        <v>5.002</v>
      </c>
      <c r="E47" s="5" t="n">
        <v>41</v>
      </c>
      <c r="F47" s="29" t="n">
        <f aca="false">O47*G47</f>
        <v>10.98</v>
      </c>
      <c r="G47" s="5" t="n">
        <v>45</v>
      </c>
      <c r="H47" s="22" t="n">
        <f aca="false">(D47/E47)/(F47/G47)</f>
        <v>0.5</v>
      </c>
      <c r="I47" s="26" t="n">
        <f aca="false">G47*H47</f>
        <v>22.5</v>
      </c>
      <c r="J47" s="12" t="s">
        <v>207</v>
      </c>
      <c r="K47" s="0" t="s">
        <v>231</v>
      </c>
      <c r="L47" s="37" t="n">
        <v>0.122</v>
      </c>
      <c r="M47" s="7"/>
      <c r="N47" s="0" t="s">
        <v>232</v>
      </c>
      <c r="O47" s="37" t="n">
        <v>0.244</v>
      </c>
      <c r="P47" s="7"/>
      <c r="V47" s="7"/>
    </row>
    <row r="48" customFormat="false" ht="14.1" hidden="false" customHeight="true" outlineLevel="0" collapsed="false">
      <c r="B48" s="0" t="s">
        <v>261</v>
      </c>
      <c r="C48" s="1" t="n">
        <v>0.5</v>
      </c>
      <c r="D48" s="0" t="n">
        <v>68</v>
      </c>
      <c r="E48" s="0" t="n">
        <v>140</v>
      </c>
      <c r="F48" s="0" t="n">
        <v>67</v>
      </c>
      <c r="G48" s="0" t="n">
        <v>133</v>
      </c>
      <c r="H48" s="22" t="n">
        <f aca="false">(D48/E48)/(F48/G48)</f>
        <v>0.964179104477612</v>
      </c>
      <c r="I48" s="26" t="n">
        <f aca="false">G48*H48</f>
        <v>128.235820895522</v>
      </c>
      <c r="J48" s="12"/>
    </row>
    <row r="49" customFormat="false" ht="14.1" hidden="false" customHeight="true" outlineLevel="0" collapsed="false">
      <c r="I49" s="26"/>
      <c r="J49" s="12"/>
    </row>
    <row r="50" customFormat="false" ht="14.1" hidden="false" customHeight="true" outlineLevel="0" collapsed="false">
      <c r="B50" s="6" t="s">
        <v>179</v>
      </c>
      <c r="C50" s="7"/>
      <c r="D50" s="7" t="n">
        <f aca="false">SUM(D41:D48)</f>
        <v>682.082</v>
      </c>
      <c r="E50" s="7" t="n">
        <f aca="false">SUM(E41:E48)</f>
        <v>2068</v>
      </c>
      <c r="F50" s="34" t="n">
        <f aca="false">SUM(F41:F48)</f>
        <v>592.852376154492</v>
      </c>
      <c r="G50" s="34" t="n">
        <f aca="false">SUM(G41:G48)</f>
        <v>1943.23257766583</v>
      </c>
      <c r="I50" s="34" t="n">
        <f aca="false">SUM(I41:I48)</f>
        <v>1833.5333469615</v>
      </c>
      <c r="J50" s="12"/>
    </row>
    <row r="51" customFormat="false" ht="14.1" hidden="false" customHeight="true" outlineLevel="0" collapsed="false">
      <c r="B51" s="6" t="s">
        <v>172</v>
      </c>
      <c r="C51" s="7"/>
      <c r="D51" s="7" t="n">
        <f aca="false">COUNT(D41:D48)</f>
        <v>8</v>
      </c>
      <c r="G51" s="6" t="s">
        <v>251</v>
      </c>
      <c r="H51" s="25" t="n">
        <f aca="false">I50/G50</f>
        <v>0.943548069353543</v>
      </c>
      <c r="I51" s="26"/>
      <c r="J51" s="12"/>
    </row>
    <row r="52" customFormat="false" ht="14.1" hidden="false" customHeight="true" outlineLevel="0" collapsed="false">
      <c r="G52" s="6" t="s">
        <v>252</v>
      </c>
      <c r="H52" s="25" t="n">
        <f aca="false">MEDIAN(H41:H48)</f>
        <v>0.959362279511533</v>
      </c>
      <c r="I52" s="26"/>
      <c r="J52" s="12"/>
    </row>
    <row r="53" customFormat="false" ht="14.1" hidden="false" customHeight="true" outlineLevel="0" collapsed="false">
      <c r="I53" s="26"/>
      <c r="J53" s="12"/>
    </row>
    <row r="54" customFormat="false" ht="14.1" hidden="false" customHeight="true" outlineLevel="0" collapsed="false">
      <c r="B54" s="5" t="s">
        <v>262</v>
      </c>
      <c r="C54" s="7"/>
      <c r="I54" s="26"/>
      <c r="J54" s="12"/>
    </row>
    <row r="55" customFormat="false" ht="14.1" hidden="false" customHeight="true" outlineLevel="0" collapsed="false">
      <c r="I55" s="26"/>
      <c r="J55" s="12"/>
    </row>
    <row r="56" customFormat="false" ht="14.1" hidden="false" customHeight="true" outlineLevel="0" collapsed="false">
      <c r="B56" s="0" t="s">
        <v>263</v>
      </c>
      <c r="C56" s="1" t="n">
        <v>1.5</v>
      </c>
      <c r="D56" s="0" t="n">
        <v>3</v>
      </c>
      <c r="E56" s="5" t="n">
        <v>6</v>
      </c>
      <c r="F56" s="0" t="n">
        <v>4</v>
      </c>
      <c r="G56" s="5" t="n">
        <v>6</v>
      </c>
      <c r="H56" s="22" t="n">
        <f aca="false">(D56/E56)/(F56/G56)</f>
        <v>0.75</v>
      </c>
      <c r="I56" s="26" t="n">
        <f aca="false">G56*H56</f>
        <v>4.5</v>
      </c>
      <c r="J56" s="12"/>
      <c r="L56" s="0" t="s">
        <v>264</v>
      </c>
    </row>
    <row r="57" customFormat="false" ht="14.1" hidden="false" customHeight="true" outlineLevel="0" collapsed="false">
      <c r="B57" s="0" t="s">
        <v>265</v>
      </c>
      <c r="C57" s="1" t="n">
        <v>1.5</v>
      </c>
      <c r="D57" s="0" t="n">
        <v>2</v>
      </c>
      <c r="E57" s="5" t="n">
        <v>6</v>
      </c>
      <c r="F57" s="0" t="n">
        <v>4</v>
      </c>
      <c r="G57" s="5" t="n">
        <v>6</v>
      </c>
      <c r="H57" s="22" t="n">
        <f aca="false">(D57/E57)/(F57/G57)</f>
        <v>0.5</v>
      </c>
      <c r="I57" s="26" t="n">
        <f aca="false">G57*H57</f>
        <v>3</v>
      </c>
      <c r="J57" s="12"/>
      <c r="L57" s="0" t="s">
        <v>266</v>
      </c>
    </row>
    <row r="58" customFormat="false" ht="14.1" hidden="false" customHeight="true" outlineLevel="0" collapsed="false">
      <c r="B58" s="0" t="s">
        <v>267</v>
      </c>
      <c r="C58" s="1" t="n">
        <v>0.25</v>
      </c>
      <c r="D58" s="5" t="n">
        <v>4</v>
      </c>
      <c r="E58" s="0" t="n">
        <f aca="false">L58+M58</f>
        <v>13</v>
      </c>
      <c r="F58" s="5" t="n">
        <v>13</v>
      </c>
      <c r="G58" s="0" t="n">
        <f aca="false">O58+P58</f>
        <v>19</v>
      </c>
      <c r="H58" s="22" t="n">
        <f aca="false">(D58/E58)/(F58/G58)</f>
        <v>0.449704142011834</v>
      </c>
      <c r="I58" s="26" t="n">
        <f aca="false">G58*H58</f>
        <v>8.54437869822485</v>
      </c>
      <c r="J58" s="38" t="s">
        <v>207</v>
      </c>
      <c r="K58" s="0" t="s">
        <v>229</v>
      </c>
      <c r="L58" s="7" t="n">
        <v>9</v>
      </c>
      <c r="M58" s="7" t="n">
        <v>4</v>
      </c>
      <c r="N58" s="0" t="s">
        <v>230</v>
      </c>
      <c r="O58" s="7" t="n">
        <v>6</v>
      </c>
      <c r="P58" s="7" t="n">
        <v>13</v>
      </c>
    </row>
    <row r="59" customFormat="false" ht="14.1" hidden="false" customHeight="true" outlineLevel="0" collapsed="false">
      <c r="B59" s="0" t="s">
        <v>268</v>
      </c>
      <c r="C59" s="1" t="n">
        <v>0.6</v>
      </c>
      <c r="D59" s="0" t="n">
        <f aca="false">L59+M59</f>
        <v>14</v>
      </c>
      <c r="E59" s="5" t="n">
        <v>43</v>
      </c>
      <c r="F59" s="0" t="n">
        <f aca="false">O59+V59</f>
        <v>28</v>
      </c>
      <c r="G59" s="5" t="n">
        <v>41</v>
      </c>
      <c r="H59" s="22" t="n">
        <f aca="false">(D59/E59)/(F59/G59)</f>
        <v>0.476744186046512</v>
      </c>
      <c r="I59" s="26" t="n">
        <f aca="false">G59*H59</f>
        <v>19.546511627907</v>
      </c>
      <c r="J59" s="12" t="s">
        <v>207</v>
      </c>
      <c r="K59" s="0" t="s">
        <v>231</v>
      </c>
      <c r="L59" s="7" t="n">
        <v>14</v>
      </c>
      <c r="M59" s="7"/>
      <c r="N59" s="0" t="s">
        <v>232</v>
      </c>
      <c r="O59" s="7" t="n">
        <v>28</v>
      </c>
      <c r="P59" s="7"/>
      <c r="V59" s="7"/>
    </row>
    <row r="60" customFormat="false" ht="14.1" hidden="false" customHeight="true" outlineLevel="0" collapsed="false">
      <c r="B60" s="0" t="s">
        <v>269</v>
      </c>
      <c r="C60" s="1" t="n">
        <v>0.5</v>
      </c>
      <c r="D60" s="29" t="n">
        <f aca="false">L60*E60</f>
        <v>6.678</v>
      </c>
      <c r="E60" s="5" t="n">
        <v>42</v>
      </c>
      <c r="F60" s="29" t="n">
        <f aca="false">O60*G60</f>
        <v>18.988</v>
      </c>
      <c r="G60" s="5" t="n">
        <v>47</v>
      </c>
      <c r="H60" s="22" t="n">
        <f aca="false">(D60/E60)/(F60/G60)</f>
        <v>0.393564356435644</v>
      </c>
      <c r="I60" s="26" t="n">
        <f aca="false">G60*H60</f>
        <v>18.4975247524752</v>
      </c>
      <c r="J60" s="12" t="s">
        <v>207</v>
      </c>
      <c r="K60" s="0" t="s">
        <v>231</v>
      </c>
      <c r="L60" s="37" t="n">
        <v>0.159</v>
      </c>
      <c r="M60" s="7"/>
      <c r="N60" s="0" t="s">
        <v>232</v>
      </c>
      <c r="O60" s="37" t="n">
        <v>0.404</v>
      </c>
      <c r="P60" s="7"/>
      <c r="V60" s="7"/>
    </row>
    <row r="61" customFormat="false" ht="14.1" hidden="false" customHeight="true" outlineLevel="0" collapsed="false">
      <c r="B61" s="0" t="s">
        <v>270</v>
      </c>
      <c r="C61" s="1" t="n">
        <v>1</v>
      </c>
      <c r="D61" s="29" t="n">
        <f aca="false">M61/S61</f>
        <v>17.2222222222222</v>
      </c>
      <c r="E61" s="5" t="n">
        <v>139</v>
      </c>
      <c r="F61" s="29" t="n">
        <f aca="false">P61/V61</f>
        <v>30.7692307692308</v>
      </c>
      <c r="G61" s="5" t="n">
        <v>140</v>
      </c>
      <c r="H61" s="22" t="n">
        <f aca="false">(D61/E61)/(F61/G61)</f>
        <v>0.56374900079936</v>
      </c>
      <c r="I61" s="26" t="n">
        <f aca="false">G61*H61</f>
        <v>78.9248601119105</v>
      </c>
      <c r="J61" s="12" t="s">
        <v>207</v>
      </c>
      <c r="K61" s="0" t="s">
        <v>271</v>
      </c>
      <c r="M61" s="7" t="n">
        <v>31</v>
      </c>
      <c r="N61" s="0" t="s">
        <v>272</v>
      </c>
      <c r="P61" s="7" t="n">
        <v>80</v>
      </c>
      <c r="Q61" s="0" t="s">
        <v>273</v>
      </c>
      <c r="S61" s="7" t="n">
        <v>1.8</v>
      </c>
      <c r="T61" s="0" t="s">
        <v>274</v>
      </c>
      <c r="V61" s="7" t="n">
        <v>2.6</v>
      </c>
    </row>
    <row r="62" customFormat="false" ht="14.1" hidden="false" customHeight="true" outlineLevel="0" collapsed="false">
      <c r="B62" s="0" t="s">
        <v>275</v>
      </c>
      <c r="C62" s="1" t="n">
        <v>1</v>
      </c>
      <c r="D62" s="5" t="n">
        <v>6</v>
      </c>
      <c r="E62" s="5" t="n">
        <v>56</v>
      </c>
      <c r="F62" s="5" t="n">
        <v>14</v>
      </c>
      <c r="G62" s="5" t="n">
        <v>56</v>
      </c>
      <c r="H62" s="22" t="n">
        <f aca="false">(D62/E62)/(F62/G62)</f>
        <v>0.428571428571429</v>
      </c>
      <c r="I62" s="26" t="n">
        <f aca="false">G62*H62</f>
        <v>24</v>
      </c>
      <c r="J62" s="12"/>
    </row>
    <row r="63" customFormat="false" ht="14.1" hidden="false" customHeight="true" outlineLevel="0" collapsed="false"/>
    <row r="64" customFormat="false" ht="14.1" hidden="false" customHeight="true" outlineLevel="0" collapsed="false">
      <c r="B64" s="6" t="s">
        <v>179</v>
      </c>
      <c r="C64" s="7"/>
      <c r="D64" s="7" t="n">
        <f aca="false">SUM(D56:D62)</f>
        <v>52.9002222222222</v>
      </c>
      <c r="E64" s="7" t="n">
        <f aca="false">SUM(E56:E62)</f>
        <v>305</v>
      </c>
      <c r="F64" s="7" t="n">
        <f aca="false">SUM(F56:F62)</f>
        <v>112.757230769231</v>
      </c>
      <c r="G64" s="7" t="n">
        <f aca="false">SUM(G56:G62)</f>
        <v>315</v>
      </c>
      <c r="I64" s="34" t="n">
        <f aca="false">SUM(I56:I62)</f>
        <v>157.013275190518</v>
      </c>
    </row>
    <row r="65" customFormat="false" ht="14.1" hidden="false" customHeight="true" outlineLevel="0" collapsed="false">
      <c r="B65" s="6" t="s">
        <v>172</v>
      </c>
      <c r="C65" s="7"/>
      <c r="D65" s="7" t="n">
        <f aca="false">COUNT(D56:D62)</f>
        <v>7</v>
      </c>
      <c r="G65" s="6" t="s">
        <v>251</v>
      </c>
      <c r="H65" s="25" t="n">
        <f aca="false">I64/G64</f>
        <v>0.498454841874659</v>
      </c>
    </row>
    <row r="66" customFormat="false" ht="14.1" hidden="false" customHeight="true" outlineLevel="0" collapsed="false">
      <c r="G66" s="6" t="s">
        <v>252</v>
      </c>
      <c r="H66" s="25" t="n">
        <f aca="false">MEDIAN(H56:H62)</f>
        <v>0.476744186046512</v>
      </c>
    </row>
  </sheetData>
  <mergeCells count="2">
    <mergeCell ref="D5:E5"/>
    <mergeCell ref="F5:G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H65536"/>
  <sheetViews>
    <sheetView windowProtection="false" showFormulas="false" showGridLines="true" showRowColHeaders="true" showZeros="true" rightToLeft="false" tabSelected="false" showOutlineSymbols="true" defaultGridColor="true" view="normal" topLeftCell="I1" colorId="64" zoomScale="120" zoomScaleNormal="120" zoomScalePageLayoutView="100" workbookViewId="0">
      <selection pane="topLeft" activeCell="V85" activeCellId="0" sqref="V85"/>
    </sheetView>
  </sheetViews>
  <sheetFormatPr defaultRowHeight="14.1"/>
  <cols>
    <col collapsed="false" hidden="false" max="2" min="2" style="0" width="25.0102040816327"/>
    <col collapsed="false" hidden="false" max="3" min="3" style="1" width="10.9591836734694"/>
    <col collapsed="false" hidden="false" max="5" min="4" style="1" width="9.35714285714286"/>
    <col collapsed="false" hidden="false" max="6" min="6" style="0" width="9.35714285714286"/>
    <col collapsed="false" hidden="false" max="7" min="7" style="1" width="9.05102040816327"/>
    <col collapsed="false" hidden="false" max="8" min="8" style="36" width="7.71428571428571"/>
    <col collapsed="false" hidden="false" max="9" min="9" style="30" width="5.67857142857143"/>
    <col collapsed="false" hidden="false" max="10" min="10" style="1" width="10.6734693877551"/>
    <col collapsed="false" hidden="false" max="11" min="11" style="1" width="10.3418367346939"/>
    <col collapsed="false" hidden="false" max="12" min="12" style="0" width="2.89795918367347"/>
    <col collapsed="false" hidden="false" max="13" min="13" style="39" width="7.75"/>
    <col collapsed="false" hidden="false" max="14" min="14" style="1" width="9.20408163265306"/>
    <col collapsed="false" hidden="false" max="15" min="15" style="1" width="10.6734693877551"/>
    <col collapsed="false" hidden="false" max="17" min="16" style="1" width="9.05102040816327"/>
    <col collapsed="false" hidden="false" max="18" min="18" style="36" width="8.63775510204082"/>
    <col collapsed="false" hidden="false" max="19" min="19" style="30" width="6.93877551020408"/>
    <col collapsed="false" hidden="false" max="20" min="20" style="1" width="6.93877551020408"/>
    <col collapsed="false" hidden="false" max="21" min="21" style="1" width="9.87244897959184"/>
    <col collapsed="false" hidden="false" max="22" min="22" style="1" width="7.60204081632653"/>
    <col collapsed="false" hidden="false" max="23" min="23" style="0" width="23.6122448979592"/>
    <col collapsed="false" hidden="false" max="24" min="24" style="0" width="10.6173469387755"/>
  </cols>
  <sheetData>
    <row r="2" customFormat="false" ht="17.55" hidden="false" customHeight="true" outlineLevel="0" collapsed="false">
      <c r="B2" s="8" t="s">
        <v>276</v>
      </c>
      <c r="C2" s="40"/>
      <c r="D2" s="31"/>
      <c r="E2" s="31"/>
      <c r="F2" s="41"/>
      <c r="G2" s="31"/>
      <c r="H2" s="42"/>
      <c r="I2" s="43"/>
      <c r="J2" s="31"/>
    </row>
    <row r="3" customFormat="false" ht="17.55" hidden="false" customHeight="true" outlineLevel="0" collapsed="false">
      <c r="B3" s="41"/>
      <c r="C3" s="40"/>
      <c r="D3" s="31"/>
      <c r="E3" s="31"/>
      <c r="F3" s="41"/>
      <c r="G3" s="31"/>
      <c r="H3" s="42"/>
      <c r="I3" s="43"/>
      <c r="J3" s="31"/>
    </row>
    <row r="4" customFormat="false" ht="17.55" hidden="false" customHeight="true" outlineLevel="0" collapsed="false">
      <c r="B4" s="41"/>
      <c r="C4" s="40"/>
      <c r="D4" s="31"/>
      <c r="E4" s="31"/>
      <c r="F4" s="41"/>
      <c r="G4" s="31"/>
      <c r="H4" s="42"/>
      <c r="I4" s="43"/>
      <c r="J4" s="31"/>
    </row>
    <row r="6" customFormat="false" ht="14.1" hidden="false" customHeight="true" outlineLevel="0" collapsed="false">
      <c r="B6" s="5" t="s">
        <v>277</v>
      </c>
      <c r="G6" s="30"/>
      <c r="W6" s="5" t="str">
        <f aca="false">B6</f>
        <v>Duration in days per episode</v>
      </c>
    </row>
    <row r="7" customFormat="false" ht="14.1" hidden="false" customHeight="true" outlineLevel="0" collapsed="false">
      <c r="B7" s="5"/>
      <c r="G7" s="30"/>
      <c r="I7" s="44" t="n">
        <f aca="false">'SD per Mean'!O68</f>
        <v>0.91</v>
      </c>
      <c r="J7" s="10" t="s">
        <v>278</v>
      </c>
      <c r="W7" s="5"/>
    </row>
    <row r="8" customFormat="false" ht="14.1" hidden="false" customHeight="true" outlineLevel="0" collapsed="false">
      <c r="B8" s="5" t="s">
        <v>279</v>
      </c>
      <c r="G8" s="30"/>
      <c r="W8" s="5" t="str">
        <f aca="false">B8</f>
        <v>Prophylaxis days adults</v>
      </c>
    </row>
    <row r="9" customFormat="false" ht="14.1" hidden="false" customHeight="true" outlineLevel="0" collapsed="false">
      <c r="E9" s="0"/>
      <c r="G9" s="0"/>
      <c r="H9" s="0"/>
      <c r="I9" s="0"/>
      <c r="J9" s="0"/>
      <c r="K9" s="0"/>
      <c r="M9" s="0"/>
      <c r="N9" s="0"/>
      <c r="O9" s="0"/>
      <c r="P9" s="0"/>
      <c r="Q9" s="0"/>
      <c r="R9" s="0"/>
      <c r="S9" s="0"/>
      <c r="T9" s="0"/>
      <c r="U9" s="0"/>
      <c r="V9" s="0"/>
    </row>
    <row r="10" customFormat="false" ht="14.1" hidden="false" customHeight="true" outlineLevel="0" collapsed="false">
      <c r="C10" s="0"/>
      <c r="D10" s="7"/>
      <c r="G10" s="0"/>
      <c r="K10" s="0"/>
      <c r="Q10" s="24"/>
    </row>
    <row r="11" customFormat="false" ht="14.1" hidden="false" customHeight="true" outlineLevel="0" collapsed="false">
      <c r="F11" s="1"/>
      <c r="G11" s="0"/>
      <c r="L11" s="12"/>
      <c r="M11" s="1"/>
      <c r="U11" s="39"/>
    </row>
    <row r="12" customFormat="false" ht="17.55" hidden="false" customHeight="true" outlineLevel="0" collapsed="false">
      <c r="C12" s="45" t="s">
        <v>192</v>
      </c>
      <c r="D12" s="7"/>
      <c r="E12" s="7"/>
      <c r="F12" s="7"/>
      <c r="G12" s="5"/>
      <c r="H12" s="46"/>
      <c r="I12" s="44"/>
      <c r="J12" s="7"/>
      <c r="K12" s="7"/>
      <c r="L12" s="12"/>
      <c r="M12" s="45" t="s">
        <v>193</v>
      </c>
      <c r="N12" s="7"/>
      <c r="O12" s="7"/>
      <c r="P12" s="7"/>
      <c r="Q12" s="5"/>
      <c r="R12" s="46"/>
      <c r="S12" s="44"/>
      <c r="T12" s="7"/>
      <c r="U12" s="7"/>
    </row>
    <row r="13" customFormat="false" ht="14.1" hidden="false" customHeight="true" outlineLevel="0" collapsed="false">
      <c r="B13" s="5" t="s">
        <v>280</v>
      </c>
      <c r="C13" s="7"/>
      <c r="D13" s="7"/>
      <c r="E13" s="7"/>
      <c r="F13" s="7"/>
      <c r="G13" s="7" t="s">
        <v>281</v>
      </c>
      <c r="H13" s="46"/>
      <c r="I13" s="44"/>
      <c r="J13" s="7"/>
      <c r="K13" s="7"/>
      <c r="L13" s="12"/>
      <c r="M13" s="7"/>
      <c r="N13" s="7"/>
      <c r="O13" s="7"/>
      <c r="P13" s="7"/>
      <c r="Q13" s="7" t="s">
        <v>281</v>
      </c>
      <c r="R13" s="46"/>
      <c r="S13" s="44"/>
      <c r="T13" s="7"/>
      <c r="U13" s="7"/>
      <c r="Y13" s="0" t="s">
        <v>201</v>
      </c>
    </row>
    <row r="14" customFormat="false" ht="14.1" hidden="false" customHeight="true" outlineLevel="0" collapsed="false">
      <c r="C14" s="24" t="s">
        <v>151</v>
      </c>
      <c r="D14" s="7"/>
      <c r="E14" s="7" t="s">
        <v>282</v>
      </c>
      <c r="F14" s="5" t="s">
        <v>283</v>
      </c>
      <c r="G14" s="44" t="s">
        <v>284</v>
      </c>
      <c r="H14" s="46"/>
      <c r="I14" s="44"/>
      <c r="J14" s="44"/>
      <c r="K14" s="7" t="s">
        <v>285</v>
      </c>
      <c r="M14" s="24" t="s">
        <v>151</v>
      </c>
      <c r="N14" s="7"/>
      <c r="O14" s="7" t="s">
        <v>282</v>
      </c>
      <c r="P14" s="5" t="s">
        <v>283</v>
      </c>
      <c r="Q14" s="44" t="s">
        <v>284</v>
      </c>
      <c r="R14" s="46"/>
      <c r="S14" s="44"/>
      <c r="T14" s="44"/>
      <c r="U14" s="7" t="s">
        <v>285</v>
      </c>
      <c r="V14" s="46" t="s">
        <v>286</v>
      </c>
      <c r="Y14" s="0" t="s">
        <v>203</v>
      </c>
    </row>
    <row r="15" customFormat="false" ht="14.1" hidden="false" customHeight="true" outlineLevel="0" collapsed="false">
      <c r="B15" s="5" t="s">
        <v>287</v>
      </c>
      <c r="C15" s="24" t="s">
        <v>288</v>
      </c>
      <c r="D15" s="7" t="s">
        <v>289</v>
      </c>
      <c r="E15" s="7" t="s">
        <v>290</v>
      </c>
      <c r="F15" s="5" t="s">
        <v>290</v>
      </c>
      <c r="G15" s="44" t="s">
        <v>288</v>
      </c>
      <c r="H15" s="46" t="s">
        <v>291</v>
      </c>
      <c r="I15" s="44"/>
      <c r="J15" s="7" t="s">
        <v>292</v>
      </c>
      <c r="K15" s="7" t="s">
        <v>202</v>
      </c>
      <c r="M15" s="24" t="s">
        <v>288</v>
      </c>
      <c r="N15" s="7" t="s">
        <v>289</v>
      </c>
      <c r="O15" s="7" t="s">
        <v>290</v>
      </c>
      <c r="P15" s="5" t="s">
        <v>290</v>
      </c>
      <c r="Q15" s="44" t="s">
        <v>288</v>
      </c>
      <c r="R15" s="46" t="s">
        <v>291</v>
      </c>
      <c r="S15" s="44"/>
      <c r="T15" s="7" t="s">
        <v>292</v>
      </c>
      <c r="U15" s="7" t="s">
        <v>202</v>
      </c>
      <c r="V15" s="46" t="s">
        <v>293</v>
      </c>
      <c r="X15" s="5" t="s">
        <v>294</v>
      </c>
    </row>
    <row r="16" customFormat="false" ht="14.1" hidden="false" customHeight="true" outlineLevel="0" collapsed="false">
      <c r="F16" s="1"/>
      <c r="G16" s="30"/>
      <c r="L16" s="12"/>
      <c r="U16" s="39"/>
    </row>
    <row r="17" customFormat="false" ht="14.1" hidden="false" customHeight="true" outlineLevel="0" collapsed="false">
      <c r="C17" s="7"/>
      <c r="D17" s="7"/>
      <c r="E17" s="7"/>
      <c r="F17" s="7"/>
      <c r="G17" s="30"/>
      <c r="U17" s="39"/>
      <c r="AB17" s="0" t="s">
        <v>193</v>
      </c>
    </row>
    <row r="18" customFormat="false" ht="14.1" hidden="false" customHeight="true" outlineLevel="0" collapsed="false">
      <c r="B18" s="0" t="s">
        <v>206</v>
      </c>
      <c r="F18" s="1"/>
      <c r="G18" s="44" t="n">
        <v>3.96</v>
      </c>
      <c r="H18" s="46" t="n">
        <v>0.162</v>
      </c>
      <c r="I18" s="44"/>
      <c r="J18" s="30" t="n">
        <f aca="false">SQRT(K18)*H18</f>
        <v>3.83704104747395</v>
      </c>
      <c r="K18" s="7" t="n">
        <v>561</v>
      </c>
      <c r="Q18" s="44" t="n">
        <v>4.18</v>
      </c>
      <c r="R18" s="46" t="n">
        <v>0.139</v>
      </c>
      <c r="S18" s="44"/>
      <c r="T18" s="30" t="n">
        <f aca="false">SQRT(U18)*R18</f>
        <v>3.43023162483235</v>
      </c>
      <c r="U18" s="24" t="n">
        <v>609</v>
      </c>
      <c r="V18" s="36"/>
      <c r="W18" s="0" t="str">
        <f aca="false">B18</f>
        <v>Anderson-1972</v>
      </c>
      <c r="AB18" s="0" t="s">
        <v>295</v>
      </c>
    </row>
    <row r="19" customFormat="false" ht="14.1" hidden="false" customHeight="true" outlineLevel="0" collapsed="false">
      <c r="F19" s="1"/>
      <c r="G19" s="44"/>
      <c r="H19" s="46"/>
      <c r="I19" s="44"/>
      <c r="J19" s="30"/>
      <c r="K19" s="7"/>
      <c r="Q19" s="44"/>
      <c r="R19" s="46"/>
      <c r="S19" s="44"/>
      <c r="T19" s="30"/>
      <c r="U19" s="24"/>
      <c r="V19" s="36"/>
      <c r="Y19" s="1" t="s">
        <v>211</v>
      </c>
      <c r="Z19" s="0" t="s">
        <v>285</v>
      </c>
      <c r="AB19" s="5" t="n">
        <v>437</v>
      </c>
      <c r="AC19" s="12" t="s">
        <v>212</v>
      </c>
    </row>
    <row r="20" customFormat="false" ht="14.1" hidden="false" customHeight="true" outlineLevel="0" collapsed="false">
      <c r="B20" s="0" t="s">
        <v>296</v>
      </c>
      <c r="C20" s="7" t="n">
        <v>1489</v>
      </c>
      <c r="D20" s="7"/>
      <c r="F20" s="1"/>
      <c r="G20" s="47" t="n">
        <f aca="false">C20/K20</f>
        <v>3.4151376146789</v>
      </c>
      <c r="I20" s="48" t="n">
        <f aca="false">$I$7</f>
        <v>0.91</v>
      </c>
      <c r="J20" s="30" t="n">
        <f aca="false">G20*I20</f>
        <v>3.1077752293578</v>
      </c>
      <c r="K20" s="7" t="n">
        <v>436</v>
      </c>
      <c r="M20" s="24" t="n">
        <v>1539</v>
      </c>
      <c r="N20" s="7"/>
      <c r="Q20" s="47" t="n">
        <f aca="false">M20/U20</f>
        <v>3.52173913043478</v>
      </c>
      <c r="S20" s="30" t="n">
        <f aca="false">$I$7</f>
        <v>0.91</v>
      </c>
      <c r="T20" s="30" t="n">
        <f aca="false">Q20*S20</f>
        <v>3.20478260869565</v>
      </c>
      <c r="U20" s="7" t="n">
        <v>437</v>
      </c>
      <c r="V20" s="39" t="n">
        <f aca="false">AB20</f>
        <v>104.515633571037</v>
      </c>
      <c r="W20" s="0" t="str">
        <f aca="false">B20</f>
        <v>Anderson-1974 #1 (1+4g)</v>
      </c>
      <c r="X20" s="1" t="s">
        <v>207</v>
      </c>
      <c r="Y20" s="1" t="s">
        <v>216</v>
      </c>
      <c r="Z20" s="7" t="n">
        <v>436</v>
      </c>
      <c r="AA20" s="0" t="n">
        <f aca="false">Z20/Z$25</f>
        <v>0.239166209544706</v>
      </c>
      <c r="AB20" s="0" t="n">
        <f aca="false">AA20*AB$19</f>
        <v>104.515633571037</v>
      </c>
      <c r="AC20" s="0" t="n">
        <v>105</v>
      </c>
    </row>
    <row r="21" customFormat="false" ht="14.1" hidden="false" customHeight="true" outlineLevel="0" collapsed="false">
      <c r="B21" s="0" t="s">
        <v>297</v>
      </c>
      <c r="C21" s="7" t="n">
        <v>1386</v>
      </c>
      <c r="D21" s="7"/>
      <c r="F21" s="1"/>
      <c r="G21" s="47" t="n">
        <f aca="false">C21/K21</f>
        <v>3.34782608695652</v>
      </c>
      <c r="I21" s="48" t="n">
        <f aca="false">$I$7</f>
        <v>0.91</v>
      </c>
      <c r="J21" s="30" t="n">
        <f aca="false">G21*I21</f>
        <v>3.04652173913043</v>
      </c>
      <c r="K21" s="7" t="n">
        <v>414</v>
      </c>
      <c r="Q21" s="30"/>
      <c r="T21" s="30"/>
      <c r="U21" s="39"/>
      <c r="V21" s="39" t="n">
        <f aca="false">AB21</f>
        <v>99.2419089413055</v>
      </c>
      <c r="W21" s="0" t="str">
        <f aca="false">B21</f>
        <v>Anderson-1974a #2 (1g)</v>
      </c>
      <c r="X21" s="1" t="s">
        <v>207</v>
      </c>
      <c r="Y21" s="1" t="s">
        <v>219</v>
      </c>
      <c r="Z21" s="7" t="n">
        <v>414</v>
      </c>
      <c r="AA21" s="0" t="n">
        <f aca="false">Z21/Z$25</f>
        <v>0.227098189797038</v>
      </c>
      <c r="AB21" s="0" t="n">
        <f aca="false">AA21*AB$19</f>
        <v>99.2419089413055</v>
      </c>
      <c r="AC21" s="0" t="n">
        <v>99</v>
      </c>
    </row>
    <row r="22" customFormat="false" ht="14.1" hidden="false" customHeight="true" outlineLevel="0" collapsed="false">
      <c r="B22" s="0" t="s">
        <v>298</v>
      </c>
      <c r="C22" s="7" t="n">
        <v>1501</v>
      </c>
      <c r="D22" s="7"/>
      <c r="F22" s="1"/>
      <c r="G22" s="47" t="n">
        <f aca="false">C22/K22</f>
        <v>3.22795698924731</v>
      </c>
      <c r="I22" s="48" t="n">
        <f aca="false">$I$7</f>
        <v>0.91</v>
      </c>
      <c r="J22" s="30" t="n">
        <f aca="false">G22*I22</f>
        <v>2.93744086021505</v>
      </c>
      <c r="K22" s="7" t="n">
        <v>465</v>
      </c>
      <c r="Q22" s="30"/>
      <c r="T22" s="30"/>
      <c r="U22" s="39"/>
      <c r="V22" s="39" t="n">
        <f aca="false">AB22</f>
        <v>111.467361492046</v>
      </c>
      <c r="W22" s="0" t="str">
        <f aca="false">B22</f>
        <v>Anderson-1974b #3 (2 g)</v>
      </c>
      <c r="X22" s="1" t="s">
        <v>207</v>
      </c>
      <c r="Y22" s="1" t="s">
        <v>221</v>
      </c>
      <c r="Z22" s="7" t="n">
        <v>465</v>
      </c>
      <c r="AA22" s="0" t="n">
        <f aca="false">Z22/Z$25</f>
        <v>0.255074053757542</v>
      </c>
      <c r="AB22" s="0" t="n">
        <f aca="false">AA22*AB$19</f>
        <v>111.467361492046</v>
      </c>
      <c r="AC22" s="0" t="n">
        <v>111</v>
      </c>
      <c r="AE22" s="12"/>
    </row>
    <row r="23" customFormat="false" ht="14.1" hidden="false" customHeight="true" outlineLevel="0" collapsed="false">
      <c r="B23" s="0" t="s">
        <v>299</v>
      </c>
      <c r="C23" s="7" t="n">
        <v>1580</v>
      </c>
      <c r="D23" s="7"/>
      <c r="F23" s="1"/>
      <c r="G23" s="47" t="n">
        <f aca="false">C23/K23</f>
        <v>3.11023622047244</v>
      </c>
      <c r="I23" s="48" t="n">
        <f aca="false">$I$7</f>
        <v>0.91</v>
      </c>
      <c r="J23" s="30" t="n">
        <f aca="false">G23*I23</f>
        <v>2.83031496062992</v>
      </c>
      <c r="K23" s="7" t="n">
        <v>508</v>
      </c>
      <c r="Q23" s="30"/>
      <c r="T23" s="30"/>
      <c r="U23" s="39"/>
      <c r="V23" s="39" t="n">
        <f aca="false">AB23</f>
        <v>121.775095995612</v>
      </c>
      <c r="W23" s="0" t="str">
        <f aca="false">B23</f>
        <v>Anderson-1974c #5 (0.25g)</v>
      </c>
      <c r="X23" s="1" t="s">
        <v>207</v>
      </c>
      <c r="Y23" s="1" t="s">
        <v>224</v>
      </c>
      <c r="Z23" s="7" t="n">
        <v>508</v>
      </c>
      <c r="AA23" s="0" t="n">
        <f aca="false">Z23/Z$25</f>
        <v>0.278661546900713</v>
      </c>
      <c r="AB23" s="0" t="n">
        <f aca="false">AA23*AB$19</f>
        <v>121.775095995612</v>
      </c>
      <c r="AC23" s="0" t="n">
        <v>122</v>
      </c>
    </row>
    <row r="24" customFormat="false" ht="14.1" hidden="false" customHeight="true" outlineLevel="0" collapsed="false">
      <c r="G24" s="30"/>
      <c r="J24" s="30"/>
      <c r="Q24" s="30"/>
      <c r="T24" s="30"/>
      <c r="U24" s="39"/>
      <c r="V24" s="36"/>
      <c r="Y24" s="1"/>
      <c r="Z24" s="12" t="s">
        <v>151</v>
      </c>
      <c r="AC24" s="12" t="s">
        <v>151</v>
      </c>
    </row>
    <row r="25" customFormat="false" ht="14.1" hidden="false" customHeight="true" outlineLevel="0" collapsed="false">
      <c r="B25" s="0" t="s">
        <v>227</v>
      </c>
      <c r="C25" s="7" t="n">
        <v>390</v>
      </c>
      <c r="D25" s="7" t="n">
        <v>125</v>
      </c>
      <c r="G25" s="30" t="n">
        <f aca="false">C25/D25</f>
        <v>3.12</v>
      </c>
      <c r="I25" s="48" t="n">
        <f aca="false">$I$7</f>
        <v>0.91</v>
      </c>
      <c r="J25" s="30" t="n">
        <f aca="false">G25*I25</f>
        <v>2.8392</v>
      </c>
      <c r="K25" s="1" t="n">
        <v>125</v>
      </c>
      <c r="M25" s="24" t="n">
        <v>402</v>
      </c>
      <c r="N25" s="7" t="n">
        <v>121</v>
      </c>
      <c r="Q25" s="30" t="n">
        <f aca="false">M25/N25</f>
        <v>3.32231404958678</v>
      </c>
      <c r="S25" s="30" t="n">
        <f aca="false">$I$7</f>
        <v>0.91</v>
      </c>
      <c r="T25" s="30" t="n">
        <f aca="false">Q25*S25</f>
        <v>3.02330578512397</v>
      </c>
      <c r="U25" s="39" t="n">
        <v>121</v>
      </c>
      <c r="V25" s="36"/>
      <c r="W25" s="0" t="str">
        <f aca="false">B25</f>
        <v>Briggs-1984</v>
      </c>
      <c r="Y25" s="1"/>
      <c r="Z25" s="0" t="n">
        <f aca="false">SUM(Z20:Z23)</f>
        <v>1823</v>
      </c>
      <c r="AC25" s="5" t="n">
        <f aca="false">SUM(AC20:AC23)</f>
        <v>437</v>
      </c>
    </row>
    <row r="26" customFormat="false" ht="14.1" hidden="false" customHeight="true" outlineLevel="0" collapsed="false">
      <c r="B26" s="0" t="s">
        <v>300</v>
      </c>
      <c r="D26" s="7" t="n">
        <v>51</v>
      </c>
      <c r="E26" s="7" t="n">
        <v>1.84</v>
      </c>
      <c r="G26" s="44" t="n">
        <v>5.46</v>
      </c>
      <c r="I26" s="48" t="n">
        <f aca="false">$I$7</f>
        <v>0.91</v>
      </c>
      <c r="J26" s="30" t="n">
        <f aca="false">G26*I26</f>
        <v>4.9686</v>
      </c>
      <c r="K26" s="49" t="n">
        <f aca="false">D26*E26</f>
        <v>93.84</v>
      </c>
      <c r="N26" s="7" t="n">
        <v>51</v>
      </c>
      <c r="O26" s="7" t="n">
        <v>1.37</v>
      </c>
      <c r="Q26" s="44" t="n">
        <v>5.42</v>
      </c>
      <c r="S26" s="30" t="n">
        <f aca="false">$I$7</f>
        <v>0.91</v>
      </c>
      <c r="T26" s="30" t="n">
        <f aca="false">Q26*S26</f>
        <v>4.9322</v>
      </c>
      <c r="U26" s="49" t="n">
        <f aca="false">N26*O26</f>
        <v>69.87</v>
      </c>
      <c r="V26" s="36"/>
      <c r="W26" s="0" t="str">
        <f aca="false">B26</f>
        <v>Carr-1981 Together</v>
      </c>
    </row>
    <row r="27" customFormat="false" ht="14.1" hidden="false" customHeight="true" outlineLevel="0" collapsed="false">
      <c r="B27" s="0" t="s">
        <v>301</v>
      </c>
      <c r="D27" s="7" t="n">
        <v>44</v>
      </c>
      <c r="E27" s="7" t="n">
        <v>1.3</v>
      </c>
      <c r="G27" s="44" t="n">
        <v>4.86</v>
      </c>
      <c r="J27" s="30" t="n">
        <f aca="false">'Calculations 2'!$G$53</f>
        <v>4.52567453824279</v>
      </c>
      <c r="K27" s="49" t="n">
        <f aca="false">D27*E27</f>
        <v>57.2</v>
      </c>
      <c r="N27" s="7" t="n">
        <v>44</v>
      </c>
      <c r="O27" s="7" t="n">
        <v>1.61</v>
      </c>
      <c r="Q27" s="44" t="n">
        <v>7.5</v>
      </c>
      <c r="T27" s="30" t="n">
        <f aca="false">'Calculations 2'!$G$53</f>
        <v>4.52567453824279</v>
      </c>
      <c r="U27" s="49" t="n">
        <f aca="false">N27*O27</f>
        <v>70.84</v>
      </c>
      <c r="V27" s="36"/>
      <c r="W27" s="0" t="str">
        <f aca="false">B27</f>
        <v>Carr-1981a Apart</v>
      </c>
      <c r="AE27" s="12"/>
    </row>
    <row r="28" customFormat="false" ht="14.1" hidden="false" customHeight="true" outlineLevel="0" collapsed="false">
      <c r="B28" s="0" t="s">
        <v>233</v>
      </c>
      <c r="G28" s="44" t="n">
        <f aca="false">Calculations!AB11</f>
        <v>3.54545454545455</v>
      </c>
      <c r="J28" s="30" t="n">
        <f aca="false">Calculations!AC11</f>
        <v>1.93444355865111</v>
      </c>
      <c r="K28" s="7" t="n">
        <v>44</v>
      </c>
      <c r="Q28" s="44" t="n">
        <f aca="false">Calculations!AB12</f>
        <v>4.2125</v>
      </c>
      <c r="T28" s="30" t="n">
        <f aca="false">Calculations!AC12</f>
        <v>0.822065167271128</v>
      </c>
      <c r="U28" s="24" t="n">
        <v>80</v>
      </c>
      <c r="V28" s="36"/>
      <c r="W28" s="0" t="str">
        <f aca="false">B28</f>
        <v>Charleston-1972</v>
      </c>
    </row>
    <row r="29" customFormat="false" ht="14.1" hidden="false" customHeight="true" outlineLevel="0" collapsed="false">
      <c r="B29" s="0" t="s">
        <v>234</v>
      </c>
      <c r="G29" s="44" t="n">
        <v>7.2</v>
      </c>
      <c r="J29" s="44" t="n">
        <v>3.1</v>
      </c>
      <c r="K29" s="7" t="n">
        <v>68</v>
      </c>
      <c r="Q29" s="44" t="n">
        <v>7.6</v>
      </c>
      <c r="T29" s="44" t="n">
        <v>3</v>
      </c>
      <c r="U29" s="24" t="n">
        <v>73</v>
      </c>
      <c r="V29" s="36"/>
      <c r="W29" s="0" t="str">
        <f aca="false">B29</f>
        <v>Clegg-1975</v>
      </c>
    </row>
    <row r="30" customFormat="false" ht="14.1" hidden="false" customHeight="true" outlineLevel="0" collapsed="false">
      <c r="B30" s="0" t="s">
        <v>240</v>
      </c>
      <c r="G30" s="44" t="n">
        <v>5.97</v>
      </c>
      <c r="H30" s="44" t="n">
        <v>32.8</v>
      </c>
      <c r="I30" s="44" t="s">
        <v>302</v>
      </c>
      <c r="J30" s="30" t="n">
        <f aca="false">SQRT(H30)</f>
        <v>5.72712842531054</v>
      </c>
      <c r="K30" s="7" t="n">
        <v>627</v>
      </c>
      <c r="Q30" s="44" t="n">
        <v>6.38</v>
      </c>
      <c r="R30" s="44" t="n">
        <v>40.09</v>
      </c>
      <c r="S30" s="44" t="s">
        <v>302</v>
      </c>
      <c r="T30" s="30" t="n">
        <f aca="false">SQRT(R30)</f>
        <v>6.33166644731069</v>
      </c>
      <c r="U30" s="24" t="n">
        <v>690</v>
      </c>
      <c r="V30" s="36"/>
      <c r="W30" s="0" t="str">
        <f aca="false">B30</f>
        <v>Elwood-1976</v>
      </c>
    </row>
    <row r="31" customFormat="false" ht="14.1" hidden="false" customHeight="true" outlineLevel="0" collapsed="false">
      <c r="B31" s="0" t="s">
        <v>303</v>
      </c>
      <c r="G31" s="44" t="n">
        <v>2.5</v>
      </c>
      <c r="H31" s="44"/>
      <c r="I31" s="44"/>
      <c r="J31" s="44" t="n">
        <v>1.1</v>
      </c>
      <c r="K31" s="7" t="n">
        <v>14</v>
      </c>
      <c r="Q31" s="44" t="n">
        <v>4.2</v>
      </c>
      <c r="R31" s="44"/>
      <c r="S31" s="44"/>
      <c r="T31" s="44" t="n">
        <v>3.5</v>
      </c>
      <c r="U31" s="24" t="n">
        <v>12</v>
      </c>
      <c r="V31" s="36"/>
      <c r="W31" s="0" t="str">
        <f aca="false">B31</f>
        <v>Himmelstein 1998sed</v>
      </c>
    </row>
    <row r="32" customFormat="false" ht="14.1" hidden="false" customHeight="true" outlineLevel="0" collapsed="false">
      <c r="G32" s="30"/>
      <c r="J32" s="30"/>
      <c r="Q32" s="30"/>
      <c r="T32" s="30"/>
      <c r="U32" s="39"/>
      <c r="V32" s="36"/>
    </row>
    <row r="33" customFormat="false" ht="14.1" hidden="false" customHeight="true" outlineLevel="0" collapsed="false">
      <c r="B33" s="0" t="s">
        <v>42</v>
      </c>
      <c r="G33" s="44" t="n">
        <v>2.2</v>
      </c>
      <c r="J33" s="44" t="n">
        <v>1.4</v>
      </c>
      <c r="K33" s="7" t="n">
        <v>12</v>
      </c>
      <c r="Q33" s="44" t="n">
        <v>5.4</v>
      </c>
      <c r="T33" s="44" t="n">
        <v>4.5</v>
      </c>
      <c r="U33" s="24" t="n">
        <v>17</v>
      </c>
      <c r="V33" s="36"/>
      <c r="W33" s="0" t="str">
        <f aca="false">B33</f>
        <v>Johnston 2014</v>
      </c>
    </row>
    <row r="34" customFormat="false" ht="14.1" hidden="false" customHeight="true" outlineLevel="0" collapsed="false">
      <c r="B34" s="0" t="s">
        <v>304</v>
      </c>
      <c r="G34" s="44" t="n">
        <v>6.71</v>
      </c>
      <c r="H34" s="44" t="n">
        <v>0.53</v>
      </c>
      <c r="I34" s="44"/>
      <c r="J34" s="30" t="n">
        <f aca="false">SQRT(K34)*H34</f>
        <v>3.82188435199183</v>
      </c>
      <c r="K34" s="24" t="n">
        <v>52</v>
      </c>
      <c r="L34" s="26"/>
      <c r="N34" s="39"/>
      <c r="O34" s="39"/>
      <c r="P34" s="39"/>
      <c r="Q34" s="44" t="n">
        <v>7.14</v>
      </c>
      <c r="R34" s="44" t="n">
        <v>0.46</v>
      </c>
      <c r="S34" s="44"/>
      <c r="T34" s="30" t="n">
        <f aca="false">SQRT(U34)*R34</f>
        <v>3.70863856421733</v>
      </c>
      <c r="U34" s="7" t="n">
        <v>65</v>
      </c>
      <c r="V34" s="36"/>
      <c r="W34" s="0" t="str">
        <f aca="false">B34</f>
        <v>Karlowski 1975a (#2)</v>
      </c>
      <c r="X34" s="0" t="s">
        <v>305</v>
      </c>
    </row>
    <row r="35" customFormat="false" ht="14.1" hidden="false" customHeight="true" outlineLevel="0" collapsed="false">
      <c r="B35" s="0" t="s">
        <v>306</v>
      </c>
      <c r="G35" s="44" t="n">
        <v>5.92</v>
      </c>
      <c r="H35" s="44" t="n">
        <v>0.4</v>
      </c>
      <c r="I35" s="44"/>
      <c r="J35" s="30" t="n">
        <f aca="false">SQRT(K35)*H35</f>
        <v>3.48711915483254</v>
      </c>
      <c r="K35" s="24" t="n">
        <v>76</v>
      </c>
      <c r="L35" s="26"/>
      <c r="N35" s="39"/>
      <c r="O35" s="39"/>
      <c r="P35" s="39"/>
      <c r="Q35" s="44" t="n">
        <v>6.46</v>
      </c>
      <c r="R35" s="44" t="n">
        <v>0.39</v>
      </c>
      <c r="S35" s="44"/>
      <c r="T35" s="30" t="n">
        <f aca="false">SQRT(U35)*R35</f>
        <v>2.91849276168367</v>
      </c>
      <c r="U35" s="7" t="n">
        <v>56</v>
      </c>
      <c r="V35" s="36"/>
      <c r="W35" s="0" t="str">
        <f aca="false">B35</f>
        <v>Karlowski 1975d (#3 vs #1)</v>
      </c>
    </row>
    <row r="36" customFormat="false" ht="14.1" hidden="false" customHeight="true" outlineLevel="0" collapsed="false">
      <c r="B36" s="0" t="s">
        <v>247</v>
      </c>
      <c r="G36" s="44" t="n">
        <v>11.2</v>
      </c>
      <c r="I36" s="48" t="n">
        <f aca="false">$I$7</f>
        <v>0.91</v>
      </c>
      <c r="J36" s="30" t="n">
        <f aca="false">G36*I36</f>
        <v>10.192</v>
      </c>
      <c r="K36" s="7" t="n">
        <v>600</v>
      </c>
      <c r="Q36" s="44" t="n">
        <v>11.5</v>
      </c>
      <c r="S36" s="30" t="n">
        <f aca="false">$I$7</f>
        <v>0.91</v>
      </c>
      <c r="T36" s="30" t="n">
        <f aca="false">Q36*S36</f>
        <v>10.465</v>
      </c>
      <c r="U36" s="24" t="n">
        <v>619</v>
      </c>
      <c r="V36" s="36"/>
      <c r="W36" s="0" t="str">
        <f aca="false">B36</f>
        <v>Pitt-1979</v>
      </c>
    </row>
    <row r="37" customFormat="false" ht="14.1" hidden="false" customHeight="true" outlineLevel="0" collapsed="false">
      <c r="B37" s="0" t="s">
        <v>248</v>
      </c>
      <c r="G37" s="44" t="n">
        <v>1.8</v>
      </c>
      <c r="J37" s="44" t="n">
        <v>2.98</v>
      </c>
      <c r="K37" s="7" t="n">
        <v>37</v>
      </c>
      <c r="Q37" s="44" t="n">
        <v>3.1</v>
      </c>
      <c r="T37" s="44" t="n">
        <v>4.65</v>
      </c>
      <c r="U37" s="24" t="n">
        <v>50</v>
      </c>
      <c r="V37" s="36"/>
      <c r="W37" s="0" t="str">
        <f aca="false">B37</f>
        <v>Van Straten-2002</v>
      </c>
    </row>
    <row r="38" customFormat="false" ht="14.1" hidden="false" customHeight="true" outlineLevel="0" collapsed="false">
      <c r="G38" s="44"/>
      <c r="J38" s="44"/>
      <c r="K38" s="7"/>
      <c r="Q38" s="44"/>
      <c r="T38" s="44"/>
      <c r="U38" s="24"/>
      <c r="V38" s="36"/>
    </row>
    <row r="39" customFormat="false" ht="14.1" hidden="false" customHeight="true" outlineLevel="0" collapsed="false">
      <c r="B39" s="0" t="s">
        <v>307</v>
      </c>
      <c r="G39" s="44" t="n">
        <v>6</v>
      </c>
      <c r="J39" s="7" t="n">
        <v>0.99</v>
      </c>
      <c r="K39" s="7" t="n">
        <v>14</v>
      </c>
      <c r="Q39" s="7" t="n">
        <v>5.8</v>
      </c>
      <c r="T39" s="7" t="n">
        <v>2.46</v>
      </c>
      <c r="U39" s="24" t="n">
        <v>28</v>
      </c>
      <c r="V39" s="36"/>
      <c r="W39" s="0" t="str">
        <f aca="false">B39</f>
        <v>Peters-1993 Runners</v>
      </c>
    </row>
    <row r="40" customFormat="false" ht="14.1" hidden="false" customHeight="true" outlineLevel="0" collapsed="false">
      <c r="B40" s="0" t="s">
        <v>308</v>
      </c>
      <c r="G40" s="44" t="n">
        <v>4.2</v>
      </c>
      <c r="J40" s="7" t="n">
        <v>2.14</v>
      </c>
      <c r="K40" s="7" t="n">
        <v>18</v>
      </c>
      <c r="Q40" s="7" t="n">
        <v>5.6</v>
      </c>
      <c r="T40" s="7" t="n">
        <v>3.18</v>
      </c>
      <c r="U40" s="24" t="n">
        <v>18</v>
      </c>
      <c r="V40" s="36"/>
      <c r="W40" s="0" t="str">
        <f aca="false">B40</f>
        <v>Peters 1993a Sedentary</v>
      </c>
    </row>
    <row r="41" customFormat="false" ht="14.1" hidden="false" customHeight="true" outlineLevel="0" collapsed="false">
      <c r="B41" s="0" t="s">
        <v>309</v>
      </c>
      <c r="G41" s="44" t="n">
        <v>5.8</v>
      </c>
      <c r="I41" s="48" t="n">
        <f aca="false">$I$7</f>
        <v>0.91</v>
      </c>
      <c r="J41" s="30" t="n">
        <f aca="false">G41*I41</f>
        <v>5.278</v>
      </c>
      <c r="K41" s="7" t="n">
        <v>7</v>
      </c>
      <c r="Q41" s="44" t="n">
        <v>6.8</v>
      </c>
      <c r="S41" s="30" t="n">
        <f aca="false">$I$7</f>
        <v>0.91</v>
      </c>
      <c r="T41" s="30" t="n">
        <f aca="false">Q41*S41</f>
        <v>6.188</v>
      </c>
      <c r="U41" s="24" t="n">
        <v>19</v>
      </c>
      <c r="V41" s="36"/>
      <c r="W41" s="0" t="str">
        <f aca="false">B41</f>
        <v>Peters 1996 Runners</v>
      </c>
    </row>
    <row r="42" customFormat="false" ht="14.1" hidden="false" customHeight="true" outlineLevel="0" collapsed="false">
      <c r="B42" s="0" t="s">
        <v>310</v>
      </c>
      <c r="G42" s="44" t="n">
        <v>9.4</v>
      </c>
      <c r="I42" s="48" t="n">
        <f aca="false">$I$7</f>
        <v>0.91</v>
      </c>
      <c r="J42" s="30" t="n">
        <f aca="false">G42*I42</f>
        <v>8.554</v>
      </c>
      <c r="K42" s="7" t="n">
        <v>5</v>
      </c>
      <c r="Q42" s="44" t="n">
        <v>6.9</v>
      </c>
      <c r="S42" s="30" t="n">
        <f aca="false">$I$7</f>
        <v>0.91</v>
      </c>
      <c r="T42" s="30" t="n">
        <f aca="false">Q42*S42</f>
        <v>6.279</v>
      </c>
      <c r="U42" s="24" t="n">
        <v>11</v>
      </c>
      <c r="V42" s="36"/>
      <c r="W42" s="0" t="str">
        <f aca="false">B42</f>
        <v>Peters-1996a Sedentary</v>
      </c>
    </row>
    <row r="43" customFormat="false" ht="14.1" hidden="false" customHeight="true" outlineLevel="0" collapsed="false">
      <c r="B43" s="0" t="s">
        <v>275</v>
      </c>
      <c r="G43" s="34" t="n">
        <v>4.3</v>
      </c>
      <c r="J43" s="34" t="n">
        <v>3</v>
      </c>
      <c r="K43" s="7" t="n">
        <v>6</v>
      </c>
      <c r="Q43" s="34" t="n">
        <v>6</v>
      </c>
      <c r="T43" s="34" t="n">
        <v>3</v>
      </c>
      <c r="U43" s="24" t="n">
        <v>14</v>
      </c>
      <c r="V43" s="36"/>
      <c r="W43" s="0" t="str">
        <f aca="false">B43</f>
        <v>Sabiston-1974</v>
      </c>
    </row>
    <row r="44" customFormat="false" ht="14.1" hidden="false" customHeight="true" outlineLevel="0" collapsed="false">
      <c r="H44" s="1"/>
      <c r="M44" s="1"/>
      <c r="R44" s="1"/>
      <c r="V44" s="0"/>
    </row>
    <row r="45" customFormat="false" ht="14.1" hidden="false" customHeight="true" outlineLevel="0" collapsed="false">
      <c r="G45" s="30"/>
      <c r="J45" s="30"/>
      <c r="Q45" s="30"/>
      <c r="T45" s="30"/>
      <c r="U45" s="39"/>
      <c r="V45" s="36"/>
    </row>
    <row r="46" customFormat="false" ht="14.1" hidden="false" customHeight="true" outlineLevel="0" collapsed="false">
      <c r="B46" s="5"/>
      <c r="G46" s="30"/>
      <c r="J46" s="30"/>
      <c r="Q46" s="30"/>
      <c r="T46" s="30"/>
      <c r="U46" s="39"/>
      <c r="V46" s="36"/>
      <c r="W46" s="5" t="n">
        <f aca="false">B46</f>
        <v>0</v>
      </c>
    </row>
    <row r="47" customFormat="false" ht="14.1" hidden="false" customHeight="true" outlineLevel="0" collapsed="false">
      <c r="G47" s="30"/>
      <c r="T47" s="30"/>
      <c r="V47" s="36"/>
    </row>
    <row r="48" customFormat="false" ht="17.55" hidden="false" customHeight="true" outlineLevel="0" collapsed="false">
      <c r="C48" s="45" t="s">
        <v>192</v>
      </c>
      <c r="D48" s="7"/>
      <c r="E48" s="7"/>
      <c r="F48" s="7"/>
      <c r="G48" s="5"/>
      <c r="H48" s="46"/>
      <c r="I48" s="44"/>
      <c r="J48" s="7"/>
      <c r="K48" s="7"/>
      <c r="L48" s="12"/>
      <c r="M48" s="45" t="s">
        <v>193</v>
      </c>
      <c r="N48" s="7"/>
      <c r="O48" s="7"/>
      <c r="P48" s="7"/>
      <c r="Q48" s="5"/>
      <c r="R48" s="46"/>
      <c r="S48" s="44"/>
      <c r="T48" s="7"/>
      <c r="U48" s="7"/>
    </row>
    <row r="49" customFormat="false" ht="14.1" hidden="false" customHeight="true" outlineLevel="0" collapsed="false">
      <c r="C49" s="7"/>
      <c r="D49" s="7"/>
      <c r="E49" s="7"/>
      <c r="F49" s="7"/>
      <c r="G49" s="7" t="s">
        <v>281</v>
      </c>
      <c r="H49" s="46"/>
      <c r="I49" s="44"/>
      <c r="J49" s="7"/>
      <c r="K49" s="7"/>
      <c r="L49" s="12"/>
      <c r="M49" s="7"/>
      <c r="N49" s="7"/>
      <c r="O49" s="7"/>
      <c r="P49" s="7"/>
      <c r="Q49" s="7" t="s">
        <v>281</v>
      </c>
      <c r="R49" s="46"/>
      <c r="S49" s="44"/>
      <c r="T49" s="7"/>
      <c r="U49" s="7"/>
    </row>
    <row r="50" customFormat="false" ht="14.1" hidden="false" customHeight="true" outlineLevel="0" collapsed="false">
      <c r="C50" s="24" t="s">
        <v>151</v>
      </c>
      <c r="D50" s="7"/>
      <c r="E50" s="7" t="s">
        <v>282</v>
      </c>
      <c r="F50" s="5" t="s">
        <v>283</v>
      </c>
      <c r="G50" s="44" t="s">
        <v>284</v>
      </c>
      <c r="H50" s="46"/>
      <c r="I50" s="44"/>
      <c r="J50" s="44"/>
      <c r="K50" s="7" t="s">
        <v>285</v>
      </c>
      <c r="M50" s="24" t="s">
        <v>151</v>
      </c>
      <c r="N50" s="7"/>
      <c r="O50" s="7" t="s">
        <v>282</v>
      </c>
      <c r="P50" s="5" t="s">
        <v>283</v>
      </c>
      <c r="Q50" s="44" t="s">
        <v>284</v>
      </c>
      <c r="R50" s="46"/>
      <c r="S50" s="44"/>
      <c r="T50" s="44"/>
      <c r="U50" s="7" t="s">
        <v>285</v>
      </c>
      <c r="V50" s="36"/>
    </row>
    <row r="51" customFormat="false" ht="14.1" hidden="false" customHeight="true" outlineLevel="0" collapsed="false">
      <c r="B51" s="5" t="s">
        <v>311</v>
      </c>
      <c r="C51" s="24" t="s">
        <v>288</v>
      </c>
      <c r="D51" s="7" t="s">
        <v>289</v>
      </c>
      <c r="E51" s="7" t="s">
        <v>290</v>
      </c>
      <c r="F51" s="5" t="s">
        <v>290</v>
      </c>
      <c r="G51" s="44" t="s">
        <v>288</v>
      </c>
      <c r="H51" s="46" t="s">
        <v>291</v>
      </c>
      <c r="I51" s="44"/>
      <c r="J51" s="7" t="s">
        <v>292</v>
      </c>
      <c r="K51" s="7" t="s">
        <v>202</v>
      </c>
      <c r="M51" s="24" t="s">
        <v>288</v>
      </c>
      <c r="N51" s="7" t="s">
        <v>289</v>
      </c>
      <c r="O51" s="7" t="s">
        <v>290</v>
      </c>
      <c r="P51" s="5" t="s">
        <v>290</v>
      </c>
      <c r="Q51" s="44" t="s">
        <v>288</v>
      </c>
      <c r="R51" s="46" t="s">
        <v>291</v>
      </c>
      <c r="S51" s="44"/>
      <c r="T51" s="7" t="s">
        <v>292</v>
      </c>
      <c r="U51" s="7" t="s">
        <v>202</v>
      </c>
      <c r="V51" s="36"/>
    </row>
    <row r="52" customFormat="false" ht="14.1" hidden="false" customHeight="true" outlineLevel="0" collapsed="false">
      <c r="B52" s="5"/>
      <c r="C52" s="7"/>
      <c r="D52" s="7"/>
      <c r="E52" s="46"/>
      <c r="F52" s="5"/>
      <c r="G52" s="30"/>
      <c r="J52" s="30"/>
      <c r="Q52" s="30"/>
      <c r="T52" s="30"/>
      <c r="U52" s="39"/>
      <c r="V52" s="36"/>
    </row>
    <row r="53" customFormat="false" ht="14.1" hidden="false" customHeight="true" outlineLevel="0" collapsed="false">
      <c r="B53" s="0" t="s">
        <v>15</v>
      </c>
      <c r="D53" s="7"/>
      <c r="E53" s="46"/>
      <c r="G53" s="44" t="n">
        <v>3.4</v>
      </c>
      <c r="H53" s="46" t="n">
        <v>0.45</v>
      </c>
      <c r="I53" s="44"/>
      <c r="J53" s="30" t="n">
        <f aca="false">SQRT(K53)*H53</f>
        <v>2.77398630133604</v>
      </c>
      <c r="K53" s="7" t="n">
        <v>38</v>
      </c>
      <c r="Q53" s="44" t="n">
        <v>4.5</v>
      </c>
      <c r="R53" s="46" t="n">
        <v>0.43</v>
      </c>
      <c r="S53" s="44"/>
      <c r="T53" s="30" t="n">
        <f aca="false">SQRT(U53)*R53</f>
        <v>2.91640189274387</v>
      </c>
      <c r="U53" s="24" t="n">
        <v>46</v>
      </c>
      <c r="V53" s="36"/>
      <c r="W53" s="0" t="str">
        <f aca="false">B53</f>
        <v>Bancalari 1984</v>
      </c>
    </row>
    <row r="54" customFormat="false" ht="14.1" hidden="false" customHeight="true" outlineLevel="0" collapsed="false">
      <c r="B54" s="0" t="s">
        <v>312</v>
      </c>
      <c r="G54" s="34" t="n">
        <v>5.5</v>
      </c>
      <c r="J54" s="34" t="n">
        <v>5</v>
      </c>
      <c r="K54" s="7" t="n">
        <v>30</v>
      </c>
      <c r="Q54" s="34" t="n">
        <v>10.4</v>
      </c>
      <c r="T54" s="34" t="n">
        <v>7.1</v>
      </c>
      <c r="U54" s="24" t="n">
        <v>21</v>
      </c>
      <c r="V54" s="36"/>
      <c r="W54" s="0" t="str">
        <f aca="false">B54</f>
        <v>Constantini 2011 Male</v>
      </c>
    </row>
    <row r="55" customFormat="false" ht="14.1" hidden="false" customHeight="true" outlineLevel="0" collapsed="false">
      <c r="B55" s="0" t="s">
        <v>313</v>
      </c>
      <c r="G55" s="34" t="n">
        <v>8.6</v>
      </c>
      <c r="J55" s="34" t="n">
        <v>5.5</v>
      </c>
      <c r="K55" s="7" t="n">
        <v>25</v>
      </c>
      <c r="Q55" s="34" t="n">
        <v>7.4</v>
      </c>
      <c r="T55" s="34" t="n">
        <v>8.2</v>
      </c>
      <c r="U55" s="24" t="n">
        <v>22</v>
      </c>
      <c r="V55" s="36"/>
      <c r="W55" s="0" t="str">
        <f aca="false">B55</f>
        <v>Constantini 2011a Female</v>
      </c>
    </row>
    <row r="56" customFormat="false" ht="14.1" hidden="false" customHeight="true" outlineLevel="0" collapsed="false">
      <c r="B56" s="0" t="s">
        <v>314</v>
      </c>
      <c r="G56" s="44" t="n">
        <v>4.95</v>
      </c>
      <c r="I56" s="48" t="n">
        <f aca="false">$I$7</f>
        <v>0.91</v>
      </c>
      <c r="J56" s="30" t="n">
        <f aca="false">G56*I56</f>
        <v>4.5045</v>
      </c>
      <c r="K56" s="7" t="n">
        <v>19</v>
      </c>
      <c r="Q56" s="44" t="n">
        <v>5.65</v>
      </c>
      <c r="S56" s="30" t="n">
        <f aca="false">$I$7</f>
        <v>0.91</v>
      </c>
      <c r="T56" s="30" t="n">
        <f aca="false">Q56*S56</f>
        <v>5.1415</v>
      </c>
      <c r="U56" s="24" t="n">
        <v>23</v>
      </c>
      <c r="V56" s="36"/>
      <c r="W56" s="0" t="str">
        <f aca="false">B56</f>
        <v>Coulehan-1974 LOW</v>
      </c>
    </row>
    <row r="57" customFormat="false" ht="14.1" hidden="false" customHeight="true" outlineLevel="0" collapsed="false">
      <c r="B57" s="0" t="s">
        <v>315</v>
      </c>
      <c r="G57" s="44" t="n">
        <v>4.44</v>
      </c>
      <c r="I57" s="48" t="n">
        <f aca="false">$I$7</f>
        <v>0.91</v>
      </c>
      <c r="J57" s="30" t="n">
        <f aca="false">G57*I57</f>
        <v>4.0404</v>
      </c>
      <c r="K57" s="7" t="n">
        <v>16</v>
      </c>
      <c r="Q57" s="44" t="n">
        <v>6.29</v>
      </c>
      <c r="S57" s="30" t="n">
        <f aca="false">$I$7</f>
        <v>0.91</v>
      </c>
      <c r="T57" s="30" t="n">
        <f aca="false">Q57*S57</f>
        <v>5.7239</v>
      </c>
      <c r="U57" s="24" t="n">
        <v>17</v>
      </c>
      <c r="V57" s="36"/>
      <c r="W57" s="0" t="str">
        <f aca="false">B57</f>
        <v>Coulehan-1974a UP</v>
      </c>
    </row>
    <row r="58" customFormat="false" ht="14.1" hidden="false" customHeight="true" outlineLevel="0" collapsed="false">
      <c r="B58" s="0" t="s">
        <v>239</v>
      </c>
      <c r="G58" s="44" t="n">
        <v>5.5</v>
      </c>
      <c r="I58" s="48" t="n">
        <f aca="false">$I$7</f>
        <v>0.91</v>
      </c>
      <c r="J58" s="30" t="n">
        <f aca="false">G58*I58</f>
        <v>5.005</v>
      </c>
      <c r="K58" s="7" t="n">
        <v>98</v>
      </c>
      <c r="Q58" s="44" t="n">
        <v>5.8</v>
      </c>
      <c r="S58" s="30" t="n">
        <f aca="false">$I$7</f>
        <v>0.91</v>
      </c>
      <c r="T58" s="30" t="n">
        <f aca="false">Q58*S58</f>
        <v>5.278</v>
      </c>
      <c r="U58" s="24" t="n">
        <v>98</v>
      </c>
      <c r="V58" s="36"/>
      <c r="W58" s="0" t="str">
        <f aca="false">B58</f>
        <v>Coulehan-1976</v>
      </c>
    </row>
    <row r="59" customFormat="false" ht="14.1" hidden="false" customHeight="true" outlineLevel="0" collapsed="false">
      <c r="B59" s="0" t="s">
        <v>316</v>
      </c>
      <c r="D59" s="7" t="n">
        <v>80</v>
      </c>
      <c r="E59" s="7" t="n">
        <v>0.78</v>
      </c>
      <c r="G59" s="44" t="n">
        <v>8.9</v>
      </c>
      <c r="J59" s="44" t="n">
        <v>5.96</v>
      </c>
      <c r="K59" s="49" t="n">
        <f aca="false">D59*E59</f>
        <v>62.4</v>
      </c>
      <c r="N59" s="7" t="n">
        <v>78</v>
      </c>
      <c r="O59" s="7" t="n">
        <v>0.71</v>
      </c>
      <c r="Q59" s="44" t="n">
        <v>14.53</v>
      </c>
      <c r="T59" s="44" t="n">
        <v>9.75</v>
      </c>
      <c r="U59" s="49" t="n">
        <f aca="false">N59*O59</f>
        <v>55.38</v>
      </c>
      <c r="V59" s="36"/>
      <c r="W59" s="0" t="str">
        <f aca="false">B59</f>
        <v>Ludvigsson-1977 Pilot</v>
      </c>
    </row>
    <row r="60" customFormat="false" ht="14.1" hidden="false" customHeight="true" outlineLevel="0" collapsed="false">
      <c r="B60" s="0" t="s">
        <v>317</v>
      </c>
      <c r="D60" s="7" t="n">
        <v>304</v>
      </c>
      <c r="E60" s="7" t="n">
        <v>1.39</v>
      </c>
      <c r="G60" s="44" t="n">
        <v>9.54</v>
      </c>
      <c r="J60" s="44" t="n">
        <v>8.65</v>
      </c>
      <c r="K60" s="49" t="n">
        <f aca="false">D60*E60</f>
        <v>422.56</v>
      </c>
      <c r="N60" s="7" t="n">
        <v>311</v>
      </c>
      <c r="O60" s="7" t="n">
        <v>1.28</v>
      </c>
      <c r="Q60" s="44" t="n">
        <v>10.14</v>
      </c>
      <c r="T60" s="44" t="n">
        <v>11.6</v>
      </c>
      <c r="U60" s="49" t="n">
        <f aca="false">N60*O60</f>
        <v>398.08</v>
      </c>
      <c r="V60" s="36"/>
      <c r="W60" s="0" t="str">
        <f aca="false">B60</f>
        <v>Ludvigsson-1977a Large</v>
      </c>
    </row>
    <row r="61" customFormat="false" ht="14.1" hidden="false" customHeight="true" outlineLevel="0" collapsed="false">
      <c r="G61" s="30"/>
      <c r="J61" s="30"/>
      <c r="Q61" s="30"/>
      <c r="T61" s="30"/>
      <c r="U61" s="39"/>
      <c r="V61" s="36"/>
    </row>
    <row r="62" customFormat="false" ht="14.1" hidden="false" customHeight="true" outlineLevel="0" collapsed="false">
      <c r="B62" s="0" t="s">
        <v>318</v>
      </c>
      <c r="D62" s="7" t="n">
        <v>11</v>
      </c>
      <c r="E62" s="7" t="n">
        <v>4.8</v>
      </c>
      <c r="G62" s="44" t="n">
        <v>7.7</v>
      </c>
      <c r="J62" s="30" t="n">
        <f aca="false">'Calculations 2'!L69</f>
        <v>9.20326583507484</v>
      </c>
      <c r="K62" s="50" t="n">
        <f aca="false">D62*E62</f>
        <v>52.8</v>
      </c>
      <c r="N62" s="7" t="n">
        <v>11</v>
      </c>
      <c r="O62" s="7" t="n">
        <v>3.8</v>
      </c>
      <c r="Q62" s="44" t="n">
        <v>8.3</v>
      </c>
      <c r="T62" s="30" t="n">
        <f aca="false">J62</f>
        <v>9.20326583507484</v>
      </c>
      <c r="U62" s="50" t="n">
        <f aca="false">N62*O62</f>
        <v>41.8</v>
      </c>
      <c r="V62" s="36"/>
      <c r="W62" s="0" t="str">
        <f aca="false">B62</f>
        <v>Miller-1977_1000mg</v>
      </c>
    </row>
    <row r="63" customFormat="false" ht="14.1" hidden="false" customHeight="true" outlineLevel="0" collapsed="false">
      <c r="B63" s="0" t="s">
        <v>319</v>
      </c>
      <c r="D63" s="7" t="n">
        <v>11</v>
      </c>
      <c r="E63" s="7" t="n">
        <v>3.8</v>
      </c>
      <c r="G63" s="44" t="n">
        <v>8.7</v>
      </c>
      <c r="J63" s="30" t="n">
        <f aca="false">'Calculations 2'!L70</f>
        <v>4.59782999582633</v>
      </c>
      <c r="K63" s="50" t="n">
        <f aca="false">D63*E63</f>
        <v>41.8</v>
      </c>
      <c r="N63" s="7" t="n">
        <v>11</v>
      </c>
      <c r="O63" s="7" t="n">
        <v>3.6</v>
      </c>
      <c r="Q63" s="44" t="n">
        <v>9</v>
      </c>
      <c r="T63" s="30" t="n">
        <f aca="false">J63</f>
        <v>4.59782999582633</v>
      </c>
      <c r="U63" s="50" t="n">
        <f aca="false">N63*O63</f>
        <v>39.6</v>
      </c>
      <c r="V63" s="36"/>
      <c r="W63" s="0" t="str">
        <f aca="false">B63</f>
        <v>Miller-1977a_750mg</v>
      </c>
    </row>
    <row r="64" customFormat="false" ht="14.1" hidden="false" customHeight="true" outlineLevel="0" collapsed="false">
      <c r="B64" s="0" t="s">
        <v>320</v>
      </c>
      <c r="D64" s="7" t="n">
        <v>20</v>
      </c>
      <c r="E64" s="7" t="n">
        <v>5.8</v>
      </c>
      <c r="G64" s="44" t="n">
        <v>5.5</v>
      </c>
      <c r="J64" s="30" t="n">
        <f aca="false">'Calculations 2'!L71</f>
        <v>4.58323985210247</v>
      </c>
      <c r="K64" s="50" t="n">
        <f aca="false">D64*E64</f>
        <v>116</v>
      </c>
      <c r="N64" s="7" t="n">
        <v>20</v>
      </c>
      <c r="O64" s="7" t="n">
        <v>6.1</v>
      </c>
      <c r="Q64" s="44" t="n">
        <v>6.3</v>
      </c>
      <c r="T64" s="30" t="n">
        <f aca="false">J64</f>
        <v>4.58323985210247</v>
      </c>
      <c r="U64" s="50" t="n">
        <f aca="false">N64*O64</f>
        <v>122</v>
      </c>
      <c r="V64" s="36"/>
      <c r="W64" s="0" t="str">
        <f aca="false">B64</f>
        <v>Miller-1977b_500mg</v>
      </c>
    </row>
    <row r="65" customFormat="false" ht="14.1" hidden="false" customHeight="true" outlineLevel="0" collapsed="false">
      <c r="G65" s="30"/>
      <c r="J65" s="30"/>
      <c r="Q65" s="30"/>
      <c r="T65" s="30"/>
      <c r="U65" s="39"/>
      <c r="V65" s="36"/>
    </row>
    <row r="66" customFormat="false" ht="14.1" hidden="false" customHeight="true" outlineLevel="0" collapsed="false">
      <c r="B66" s="0" t="s">
        <v>270</v>
      </c>
      <c r="C66" s="7" t="n">
        <v>31</v>
      </c>
      <c r="G66" s="44" t="n">
        <v>1.8</v>
      </c>
      <c r="J66" s="30" t="n">
        <f aca="false">'Calculations 2'!$G$14</f>
        <v>1.28627544669819</v>
      </c>
      <c r="K66" s="51" t="n">
        <f aca="false">C66/G66</f>
        <v>17.2222222222222</v>
      </c>
      <c r="M66" s="24" t="n">
        <v>80</v>
      </c>
      <c r="Q66" s="44" t="n">
        <v>2.6</v>
      </c>
      <c r="T66" s="30" t="n">
        <f aca="false">'Calculations 2'!$G$14</f>
        <v>1.28627544669819</v>
      </c>
      <c r="U66" s="51" t="n">
        <f aca="false">M66/Q66</f>
        <v>30.7692307692308</v>
      </c>
      <c r="V66" s="36"/>
      <c r="W66" s="0" t="str">
        <f aca="false">B66</f>
        <v>Ritzel-1961</v>
      </c>
    </row>
    <row r="67" customFormat="false" ht="14.1" hidden="false" customHeight="true" outlineLevel="0" collapsed="false">
      <c r="B67" s="0" t="s">
        <v>321</v>
      </c>
      <c r="D67" s="7" t="n">
        <v>70</v>
      </c>
      <c r="E67" s="7" t="n">
        <v>2.29</v>
      </c>
      <c r="G67" s="44" t="n">
        <v>2.62</v>
      </c>
      <c r="H67" s="46" t="n">
        <v>0.29</v>
      </c>
      <c r="I67" s="44"/>
      <c r="J67" s="30" t="n">
        <f aca="false">SQRT(K67)*H67</f>
        <v>3.67167945223981</v>
      </c>
      <c r="K67" s="49" t="n">
        <f aca="false">D67*E67</f>
        <v>160.3</v>
      </c>
      <c r="N67" s="7" t="n">
        <v>58</v>
      </c>
      <c r="O67" s="7" t="n">
        <v>2.17</v>
      </c>
      <c r="Q67" s="44" t="n">
        <v>3.1</v>
      </c>
      <c r="R67" s="46" t="n">
        <v>0.37</v>
      </c>
      <c r="S67" s="44"/>
      <c r="T67" s="30" t="n">
        <f aca="false">SQRT(U67)*R67</f>
        <v>4.15093170264219</v>
      </c>
      <c r="U67" s="49" t="n">
        <f aca="false">N67*O67</f>
        <v>125.86</v>
      </c>
      <c r="V67" s="36"/>
      <c r="W67" s="0" t="str">
        <f aca="false">B67</f>
        <v>Wilson_1973 Girls</v>
      </c>
    </row>
    <row r="68" customFormat="false" ht="14.1" hidden="false" customHeight="true" outlineLevel="0" collapsed="false">
      <c r="B68" s="0" t="s">
        <v>322</v>
      </c>
      <c r="D68" s="7" t="n">
        <v>88</v>
      </c>
      <c r="E68" s="7" t="n">
        <v>2.33</v>
      </c>
      <c r="G68" s="44" t="n">
        <v>2.68</v>
      </c>
      <c r="H68" s="46" t="n">
        <v>0.35</v>
      </c>
      <c r="I68" s="44"/>
      <c r="J68" s="30" t="n">
        <f aca="false">SQRT(K68)*H68</f>
        <v>5.01172624950725</v>
      </c>
      <c r="K68" s="49" t="n">
        <f aca="false">D68*E68</f>
        <v>205.04</v>
      </c>
      <c r="N68" s="7" t="n">
        <v>86</v>
      </c>
      <c r="O68" s="7" t="n">
        <v>2.18</v>
      </c>
      <c r="Q68" s="44" t="n">
        <v>2.48</v>
      </c>
      <c r="R68" s="46" t="n">
        <v>0.24</v>
      </c>
      <c r="S68" s="44"/>
      <c r="T68" s="30" t="n">
        <f aca="false">SQRT(U68)*R68</f>
        <v>3.28616006913845</v>
      </c>
      <c r="U68" s="49" t="n">
        <f aca="false">N68*O68</f>
        <v>187.48</v>
      </c>
      <c r="V68" s="36"/>
      <c r="W68" s="0" t="str">
        <f aca="false">B68</f>
        <v>Wilson_1973a Boys</v>
      </c>
    </row>
    <row r="69" customFormat="false" ht="14.1" hidden="false" customHeight="true" outlineLevel="0" collapsed="false">
      <c r="C69" s="0"/>
      <c r="D69" s="0"/>
      <c r="E69" s="0"/>
      <c r="G69" s="0"/>
      <c r="H69" s="0"/>
      <c r="I69" s="22"/>
      <c r="J69" s="0"/>
      <c r="K69" s="0"/>
      <c r="M69" s="0"/>
      <c r="N69" s="0"/>
      <c r="O69" s="0"/>
      <c r="P69" s="0"/>
      <c r="Q69" s="0"/>
      <c r="R69" s="0"/>
      <c r="S69" s="22"/>
      <c r="T69" s="0"/>
      <c r="U69" s="0"/>
      <c r="V69" s="0"/>
    </row>
    <row r="70" customFormat="false" ht="14.1" hidden="false" customHeight="true" outlineLevel="0" collapsed="false">
      <c r="G70" s="30"/>
      <c r="J70" s="30"/>
      <c r="Q70" s="30"/>
      <c r="T70" s="30"/>
      <c r="U70" s="39"/>
      <c r="V70" s="36"/>
    </row>
    <row r="71" customFormat="false" ht="14.1" hidden="false" customHeight="true" outlineLevel="0" collapsed="false">
      <c r="G71" s="30"/>
      <c r="L71" s="12"/>
      <c r="U71" s="39"/>
    </row>
    <row r="72" customFormat="false" ht="14.1" hidden="false" customHeight="true" outlineLevel="0" collapsed="false">
      <c r="B72" s="5" t="s">
        <v>323</v>
      </c>
      <c r="G72" s="30"/>
      <c r="L72" s="12"/>
      <c r="U72" s="39"/>
      <c r="W72" s="5" t="str">
        <f aca="false">B72</f>
        <v>Treatment: cold duration</v>
      </c>
    </row>
    <row r="73" customFormat="false" ht="14.1" hidden="false" customHeight="true" outlineLevel="0" collapsed="false">
      <c r="G73" s="30"/>
      <c r="L73" s="12"/>
      <c r="U73" s="39"/>
    </row>
    <row r="74" customFormat="false" ht="17.55" hidden="false" customHeight="true" outlineLevel="0" collapsed="false">
      <c r="C74" s="45" t="s">
        <v>192</v>
      </c>
      <c r="D74" s="7"/>
      <c r="E74" s="7"/>
      <c r="F74" s="7"/>
      <c r="G74" s="5"/>
      <c r="H74" s="46"/>
      <c r="I74" s="44"/>
      <c r="J74" s="7"/>
      <c r="K74" s="7"/>
      <c r="L74" s="12"/>
      <c r="M74" s="45" t="s">
        <v>193</v>
      </c>
      <c r="N74" s="7"/>
      <c r="O74" s="7"/>
      <c r="P74" s="7"/>
      <c r="Q74" s="5"/>
      <c r="R74" s="46"/>
      <c r="S74" s="44"/>
      <c r="T74" s="7"/>
      <c r="U74" s="7"/>
    </row>
    <row r="75" customFormat="false" ht="14.1" hidden="false" customHeight="true" outlineLevel="0" collapsed="false">
      <c r="C75" s="7"/>
      <c r="D75" s="7"/>
      <c r="E75" s="7"/>
      <c r="F75" s="7"/>
      <c r="G75" s="7" t="s">
        <v>281</v>
      </c>
      <c r="H75" s="46"/>
      <c r="I75" s="44"/>
      <c r="J75" s="7"/>
      <c r="K75" s="7"/>
      <c r="L75" s="12"/>
      <c r="M75" s="7"/>
      <c r="N75" s="7"/>
      <c r="O75" s="7"/>
      <c r="P75" s="7"/>
      <c r="Q75" s="7" t="s">
        <v>281</v>
      </c>
      <c r="R75" s="46"/>
      <c r="S75" s="44"/>
      <c r="T75" s="7"/>
      <c r="U75" s="7"/>
    </row>
    <row r="76" customFormat="false" ht="14.1" hidden="false" customHeight="true" outlineLevel="0" collapsed="false">
      <c r="C76" s="24" t="s">
        <v>151</v>
      </c>
      <c r="D76" s="7"/>
      <c r="E76" s="7" t="s">
        <v>282</v>
      </c>
      <c r="F76" s="5" t="s">
        <v>283</v>
      </c>
      <c r="G76" s="44" t="s">
        <v>284</v>
      </c>
      <c r="H76" s="46"/>
      <c r="I76" s="44"/>
      <c r="J76" s="44"/>
      <c r="K76" s="7" t="s">
        <v>285</v>
      </c>
      <c r="M76" s="24" t="s">
        <v>151</v>
      </c>
      <c r="N76" s="7"/>
      <c r="O76" s="7" t="s">
        <v>282</v>
      </c>
      <c r="P76" s="5" t="s">
        <v>283</v>
      </c>
      <c r="Q76" s="44" t="s">
        <v>284</v>
      </c>
      <c r="R76" s="46"/>
      <c r="S76" s="44"/>
      <c r="T76" s="44"/>
      <c r="U76" s="7" t="s">
        <v>285</v>
      </c>
      <c r="V76" s="36"/>
    </row>
    <row r="77" customFormat="false" ht="14.1" hidden="false" customHeight="true" outlineLevel="0" collapsed="false">
      <c r="C77" s="24" t="s">
        <v>288</v>
      </c>
      <c r="D77" s="7" t="s">
        <v>289</v>
      </c>
      <c r="E77" s="7" t="s">
        <v>290</v>
      </c>
      <c r="F77" s="5" t="s">
        <v>290</v>
      </c>
      <c r="G77" s="44" t="s">
        <v>288</v>
      </c>
      <c r="H77" s="46" t="s">
        <v>291</v>
      </c>
      <c r="I77" s="44"/>
      <c r="J77" s="7" t="s">
        <v>292</v>
      </c>
      <c r="K77" s="7" t="s">
        <v>202</v>
      </c>
      <c r="M77" s="24" t="s">
        <v>288</v>
      </c>
      <c r="N77" s="7" t="s">
        <v>289</v>
      </c>
      <c r="O77" s="7" t="s">
        <v>290</v>
      </c>
      <c r="P77" s="5" t="s">
        <v>290</v>
      </c>
      <c r="Q77" s="44" t="s">
        <v>288</v>
      </c>
      <c r="R77" s="46" t="s">
        <v>291</v>
      </c>
      <c r="S77" s="44"/>
      <c r="T77" s="7" t="s">
        <v>292</v>
      </c>
      <c r="U77" s="7" t="s">
        <v>202</v>
      </c>
      <c r="V77" s="36"/>
    </row>
    <row r="78" customFormat="false" ht="14.1" hidden="false" customHeight="true" outlineLevel="0" collapsed="false">
      <c r="B78" s="5"/>
      <c r="C78" s="7"/>
      <c r="D78" s="7"/>
      <c r="E78" s="7"/>
      <c r="F78" s="5"/>
      <c r="G78" s="30"/>
      <c r="N78" s="7"/>
      <c r="O78" s="7"/>
      <c r="P78" s="7"/>
      <c r="V78" s="36"/>
    </row>
    <row r="79" customFormat="false" ht="14.1" hidden="false" customHeight="true" outlineLevel="0" collapsed="false">
      <c r="B79" s="0" t="s">
        <v>324</v>
      </c>
      <c r="C79" s="7" t="n">
        <v>1325</v>
      </c>
      <c r="D79" s="7"/>
      <c r="G79" s="30" t="n">
        <f aca="false">C79/K79</f>
        <v>3.17745803357314</v>
      </c>
      <c r="I79" s="30" t="n">
        <f aca="false">$I$7</f>
        <v>0.91</v>
      </c>
      <c r="J79" s="30" t="n">
        <f aca="false">G79*I79</f>
        <v>2.89148681055156</v>
      </c>
      <c r="K79" s="7" t="n">
        <v>417</v>
      </c>
      <c r="M79" s="24" t="n">
        <v>1539</v>
      </c>
      <c r="N79" s="7"/>
      <c r="Q79" s="30" t="n">
        <f aca="false">M79/U79</f>
        <v>3.52173913043478</v>
      </c>
      <c r="S79" s="30" t="n">
        <f aca="false">$I$7</f>
        <v>0.91</v>
      </c>
      <c r="T79" s="30" t="n">
        <f aca="false">Q79*S79</f>
        <v>3.20478260869565</v>
      </c>
      <c r="U79" s="24" t="n">
        <v>437</v>
      </c>
      <c r="V79" s="39" t="n">
        <v>202</v>
      </c>
      <c r="W79" s="0" t="str">
        <f aca="false">B79</f>
        <v>Anderson-1974d #7 (4g)</v>
      </c>
      <c r="Y79" s="1" t="s">
        <v>211</v>
      </c>
      <c r="Z79" s="0" t="s">
        <v>285</v>
      </c>
      <c r="AB79" s="5" t="n">
        <v>437</v>
      </c>
      <c r="AC79" s="0" t="s">
        <v>212</v>
      </c>
    </row>
    <row r="80" customFormat="false" ht="14.1" hidden="false" customHeight="true" outlineLevel="0" collapsed="false">
      <c r="B80" s="0" t="s">
        <v>325</v>
      </c>
      <c r="C80" s="7" t="n">
        <v>1380</v>
      </c>
      <c r="D80" s="7"/>
      <c r="G80" s="30" t="n">
        <f aca="false">C80/K80</f>
        <v>2.85714285714286</v>
      </c>
      <c r="I80" s="30" t="n">
        <f aca="false">$I$7</f>
        <v>0.91</v>
      </c>
      <c r="J80" s="30" t="n">
        <f aca="false">G80*I80</f>
        <v>2.6</v>
      </c>
      <c r="K80" s="7" t="n">
        <v>483</v>
      </c>
      <c r="Q80" s="30"/>
      <c r="T80" s="30"/>
      <c r="U80" s="39"/>
      <c r="V80" s="39" t="n">
        <v>235</v>
      </c>
      <c r="W80" s="0" t="str">
        <f aca="false">B80</f>
        <v>Anderson-1974e #8 (8g)</v>
      </c>
      <c r="Y80" s="1" t="n">
        <v>7</v>
      </c>
      <c r="Z80" s="5" t="n">
        <v>417</v>
      </c>
      <c r="AA80" s="0" t="n">
        <f aca="false">Z80/Z$86</f>
        <v>0.463333333333333</v>
      </c>
      <c r="AB80" s="0" t="n">
        <f aca="false">AA80*AB$79</f>
        <v>202.476666666667</v>
      </c>
      <c r="AC80" s="0" t="n">
        <v>202</v>
      </c>
    </row>
    <row r="81" customFormat="false" ht="14.1" hidden="false" customHeight="true" outlineLevel="0" collapsed="false">
      <c r="C81" s="7"/>
      <c r="D81" s="7"/>
      <c r="G81" s="30"/>
      <c r="J81" s="30"/>
      <c r="K81" s="7"/>
      <c r="Q81" s="30"/>
      <c r="T81" s="30"/>
      <c r="U81" s="39"/>
      <c r="V81" s="39"/>
      <c r="Y81" s="1"/>
      <c r="Z81" s="5"/>
    </row>
    <row r="82" customFormat="false" ht="14.1" hidden="false" customHeight="true" outlineLevel="0" collapsed="false">
      <c r="B82" s="0" t="s">
        <v>326</v>
      </c>
      <c r="D82" s="7" t="n">
        <v>150</v>
      </c>
      <c r="E82" s="46" t="n">
        <v>1.42</v>
      </c>
      <c r="F82" s="52" t="n">
        <v>5.047</v>
      </c>
      <c r="G82" s="30" t="n">
        <f aca="false">F82/E82</f>
        <v>3.55422535211268</v>
      </c>
      <c r="I82" s="30" t="n">
        <f aca="false">$I$7</f>
        <v>0.91</v>
      </c>
      <c r="J82" s="30" t="n">
        <f aca="false">G82*I82</f>
        <v>3.23434507042254</v>
      </c>
      <c r="K82" s="49" t="n">
        <f aca="false">D82*E82</f>
        <v>213</v>
      </c>
      <c r="M82" s="53" t="n">
        <f aca="false">N82*O82</f>
        <v>213.014</v>
      </c>
      <c r="N82" s="7" t="n">
        <v>146</v>
      </c>
      <c r="O82" s="46" t="n">
        <v>1.459</v>
      </c>
      <c r="P82" s="46" t="n">
        <v>5.384</v>
      </c>
      <c r="Q82" s="30" t="n">
        <f aca="false">P82/O82</f>
        <v>3.69019876627827</v>
      </c>
      <c r="S82" s="30" t="n">
        <f aca="false">$I$7</f>
        <v>0.91</v>
      </c>
      <c r="T82" s="30" t="n">
        <f aca="false">Q82*S82</f>
        <v>3.35808087731323</v>
      </c>
      <c r="U82" s="49" t="n">
        <f aca="false">N82*O82</f>
        <v>213.014</v>
      </c>
      <c r="V82" s="39" t="n">
        <v>107</v>
      </c>
      <c r="W82" s="0" t="str">
        <f aca="false">B82</f>
        <v>Anderson 1975 tablet</v>
      </c>
    </row>
    <row r="83" customFormat="false" ht="14.1" hidden="false" customHeight="true" outlineLevel="0" collapsed="false">
      <c r="B83" s="0" t="s">
        <v>327</v>
      </c>
      <c r="D83" s="7" t="n">
        <v>152</v>
      </c>
      <c r="E83" s="46" t="n">
        <v>1.375</v>
      </c>
      <c r="F83" s="52" t="n">
        <v>4.974</v>
      </c>
      <c r="G83" s="30" t="n">
        <f aca="false">F83/E83</f>
        <v>3.61745454545455</v>
      </c>
      <c r="I83" s="30" t="n">
        <f aca="false">$I$7</f>
        <v>0.91</v>
      </c>
      <c r="J83" s="30" t="n">
        <f aca="false">G83*I83</f>
        <v>3.29188363636364</v>
      </c>
      <c r="K83" s="49" t="n">
        <f aca="false">D83*E83</f>
        <v>209</v>
      </c>
      <c r="N83" s="7"/>
      <c r="O83" s="7"/>
      <c r="P83" s="7"/>
      <c r="V83" s="39" t="n">
        <v>106</v>
      </c>
      <c r="W83" s="0" t="str">
        <f aca="false">B83</f>
        <v>Anderson 1975b capsule</v>
      </c>
    </row>
    <row r="84" customFormat="false" ht="14.1" hidden="false" customHeight="true" outlineLevel="0" collapsed="false">
      <c r="C84" s="7"/>
      <c r="D84" s="7"/>
      <c r="G84" s="30"/>
      <c r="J84" s="30"/>
      <c r="K84" s="7"/>
      <c r="Q84" s="30"/>
      <c r="T84" s="30"/>
      <c r="U84" s="39"/>
      <c r="V84" s="39"/>
      <c r="Y84" s="1" t="n">
        <v>8</v>
      </c>
      <c r="Z84" s="5" t="n">
        <v>483</v>
      </c>
      <c r="AA84" s="0" t="n">
        <f aca="false">Z84/Z$86</f>
        <v>0.536666666666667</v>
      </c>
      <c r="AB84" s="0" t="n">
        <f aca="false">AA84*AB$79</f>
        <v>234.523333333333</v>
      </c>
      <c r="AC84" s="0" t="n">
        <v>235</v>
      </c>
    </row>
    <row r="85" customFormat="false" ht="14.1" hidden="false" customHeight="true" outlineLevel="0" collapsed="false">
      <c r="B85" s="0" t="s">
        <v>328</v>
      </c>
      <c r="C85" s="7"/>
      <c r="D85" s="7"/>
      <c r="G85" s="44" t="n">
        <v>10.1</v>
      </c>
      <c r="J85" s="30" t="n">
        <f aca="false">'Calculations 2'!I95</f>
        <v>6.99556591877658</v>
      </c>
      <c r="K85" s="7" t="n">
        <v>47</v>
      </c>
      <c r="Q85" s="44" t="n">
        <v>8.5</v>
      </c>
      <c r="T85" s="30" t="n">
        <f aca="false">'Calculations 2'!I96</f>
        <v>6.67422216936282</v>
      </c>
      <c r="U85" s="24" t="n">
        <v>42</v>
      </c>
      <c r="V85" s="39" t="n">
        <f aca="false">U$85*K85/(K$85+K$86)</f>
        <v>20.3505154639175</v>
      </c>
      <c r="W85" s="0" t="str">
        <f aca="false">B85</f>
        <v>Audera 2001 (1 g/day)</v>
      </c>
      <c r="Y85" s="1"/>
      <c r="Z85" s="0" t="s">
        <v>329</v>
      </c>
      <c r="AC85" s="0" t="s">
        <v>329</v>
      </c>
    </row>
    <row r="86" customFormat="false" ht="14.1" hidden="false" customHeight="true" outlineLevel="0" collapsed="false">
      <c r="B86" s="0" t="s">
        <v>330</v>
      </c>
      <c r="C86" s="7"/>
      <c r="D86" s="7"/>
      <c r="G86" s="44" t="n">
        <v>10.4</v>
      </c>
      <c r="J86" s="30" t="n">
        <f aca="false">'Calculations 2'!I96</f>
        <v>6.67422216936282</v>
      </c>
      <c r="K86" s="7" t="n">
        <v>50</v>
      </c>
      <c r="Q86" s="30"/>
      <c r="T86" s="30"/>
      <c r="U86" s="39"/>
      <c r="V86" s="39" t="n">
        <f aca="false">U$85*K86/(K$85+K$86)</f>
        <v>21.6494845360825</v>
      </c>
      <c r="W86" s="0" t="str">
        <f aca="false">B86</f>
        <v>Audera 2001a (3 g/day)</v>
      </c>
      <c r="Y86" s="1"/>
      <c r="Z86" s="0" t="n">
        <f aca="false">SUM(Z80:Z84)</f>
        <v>900</v>
      </c>
      <c r="AC86" s="0" t="n">
        <f aca="false">SUM(AC80:AC84)</f>
        <v>437</v>
      </c>
    </row>
    <row r="87" customFormat="false" ht="14.1" hidden="false" customHeight="true" outlineLevel="0" collapsed="false">
      <c r="C87" s="7"/>
      <c r="D87" s="7"/>
      <c r="G87" s="44"/>
      <c r="J87" s="30"/>
      <c r="K87" s="7"/>
      <c r="Q87" s="30"/>
      <c r="T87" s="30"/>
      <c r="U87" s="39"/>
      <c r="V87" s="39"/>
      <c r="Y87" s="1"/>
    </row>
    <row r="88" customFormat="false" ht="14.1" hidden="false" customHeight="true" outlineLevel="0" collapsed="false">
      <c r="B88" s="0" t="s">
        <v>32</v>
      </c>
      <c r="C88" s="7"/>
      <c r="D88" s="7"/>
      <c r="G88" s="44" t="n">
        <v>5.6</v>
      </c>
      <c r="I88" s="30" t="n">
        <f aca="false">$I$7</f>
        <v>0.91</v>
      </c>
      <c r="J88" s="30" t="n">
        <f aca="false">G88*I88</f>
        <v>5.096</v>
      </c>
      <c r="K88" s="7" t="n">
        <v>213</v>
      </c>
      <c r="Q88" s="44" t="n">
        <v>5.1</v>
      </c>
      <c r="S88" s="30" t="n">
        <f aca="false">$I$7</f>
        <v>0.91</v>
      </c>
      <c r="T88" s="30" t="n">
        <f aca="false">Q88*S88</f>
        <v>4.641</v>
      </c>
      <c r="U88" s="24" t="n">
        <v>207</v>
      </c>
      <c r="V88" s="39"/>
      <c r="W88" s="0" t="str">
        <f aca="false">B88</f>
        <v>Cowan 1950</v>
      </c>
      <c r="Y88" s="1"/>
    </row>
    <row r="89" customFormat="false" ht="14.1" hidden="false" customHeight="true" outlineLevel="0" collapsed="false">
      <c r="B89" s="0" t="s">
        <v>331</v>
      </c>
      <c r="C89" s="7"/>
      <c r="D89" s="7"/>
      <c r="G89" s="44" t="n">
        <v>5.6</v>
      </c>
      <c r="I89" s="30" t="n">
        <f aca="false">$I$7</f>
        <v>0.91</v>
      </c>
      <c r="J89" s="30" t="n">
        <f aca="false">G89*I89</f>
        <v>5.096</v>
      </c>
      <c r="K89" s="7" t="n">
        <v>172</v>
      </c>
      <c r="Q89" s="44" t="n">
        <v>5.7</v>
      </c>
      <c r="S89" s="30" t="n">
        <f aca="false">$I$7</f>
        <v>0.91</v>
      </c>
      <c r="T89" s="30" t="n">
        <f aca="false">Q89*S89</f>
        <v>5.187</v>
      </c>
      <c r="U89" s="24" t="n">
        <v>198</v>
      </c>
      <c r="V89" s="39"/>
      <c r="W89" s="0" t="str">
        <f aca="false">B89</f>
        <v>Cowan 1950a (Phenindamin)</v>
      </c>
      <c r="Y89" s="1"/>
    </row>
    <row r="90" customFormat="false" ht="14.1" hidden="false" customHeight="true" outlineLevel="0" collapsed="false">
      <c r="C90" s="7"/>
      <c r="D90" s="7"/>
      <c r="G90" s="44"/>
      <c r="J90" s="30"/>
      <c r="K90" s="7"/>
      <c r="Q90" s="30"/>
      <c r="T90" s="30"/>
      <c r="U90" s="39"/>
      <c r="V90" s="39"/>
      <c r="Y90" s="1"/>
    </row>
    <row r="91" customFormat="false" ht="14.1" hidden="false" customHeight="true" outlineLevel="0" collapsed="false">
      <c r="B91" s="0" t="s">
        <v>39</v>
      </c>
      <c r="G91" s="30" t="n">
        <f aca="false">Calculations!N20</f>
        <v>5.88965517241379</v>
      </c>
      <c r="J91" s="30" t="n">
        <f aca="false">Calculations!O20</f>
        <v>2.76916865126649</v>
      </c>
      <c r="K91" s="1" t="n">
        <f aca="false">Calculations!P20</f>
        <v>145</v>
      </c>
      <c r="Q91" s="30" t="n">
        <f aca="false">Calculations!Q20</f>
        <v>6.28571428571429</v>
      </c>
      <c r="T91" s="30" t="n">
        <f aca="false">Calculations!R20</f>
        <v>2.78355600255688</v>
      </c>
      <c r="U91" s="53" t="n">
        <f aca="false">Calculations!S20</f>
        <v>119</v>
      </c>
      <c r="V91" s="36"/>
      <c r="W91" s="0" t="str">
        <f aca="false">B91</f>
        <v>Elwood 1977</v>
      </c>
    </row>
    <row r="92" customFormat="false" ht="14.1" hidden="false" customHeight="true" outlineLevel="0" collapsed="false">
      <c r="C92" s="7"/>
      <c r="D92" s="7"/>
      <c r="G92" s="30"/>
      <c r="J92" s="30"/>
      <c r="K92" s="7"/>
      <c r="Q92" s="30"/>
      <c r="T92" s="30"/>
      <c r="U92" s="39"/>
      <c r="V92" s="39"/>
    </row>
    <row r="93" customFormat="false" ht="14.1" hidden="false" customHeight="true" outlineLevel="0" collapsed="false">
      <c r="B93" s="0" t="s">
        <v>332</v>
      </c>
      <c r="G93" s="44" t="n">
        <v>6.46</v>
      </c>
      <c r="H93" s="46" t="n">
        <v>0.39</v>
      </c>
      <c r="J93" s="30" t="n">
        <f aca="false">SQRT(K93)*H93</f>
        <v>2.91849276168367</v>
      </c>
      <c r="K93" s="7" t="n">
        <v>56</v>
      </c>
      <c r="Q93" s="44" t="n">
        <v>7.14</v>
      </c>
      <c r="R93" s="46" t="n">
        <v>0.46</v>
      </c>
      <c r="S93" s="44"/>
      <c r="T93" s="30" t="n">
        <f aca="false">SQRT(U93)*R93</f>
        <v>3.70863856421733</v>
      </c>
      <c r="U93" s="24" t="n">
        <v>65</v>
      </c>
      <c r="V93" s="36"/>
      <c r="W93" s="0" t="str">
        <f aca="false">B93</f>
        <v>Karlowski 1975 #1</v>
      </c>
    </row>
    <row r="94" customFormat="false" ht="14.1" hidden="false" customHeight="true" outlineLevel="0" collapsed="false">
      <c r="B94" s="0" t="s">
        <v>333</v>
      </c>
      <c r="G94" s="44" t="n">
        <v>5.92</v>
      </c>
      <c r="H94" s="46" t="n">
        <v>0.4</v>
      </c>
      <c r="I94" s="44"/>
      <c r="J94" s="30" t="n">
        <f aca="false">SQRT(K94)*H94</f>
        <v>3.48711915483254</v>
      </c>
      <c r="K94" s="7" t="n">
        <v>76</v>
      </c>
      <c r="Q94" s="44" t="n">
        <v>6.71</v>
      </c>
      <c r="R94" s="46" t="n">
        <v>0.53</v>
      </c>
      <c r="S94" s="44"/>
      <c r="T94" s="30" t="n">
        <f aca="false">SQRT(U94)*R94</f>
        <v>3.82188435199183</v>
      </c>
      <c r="U94" s="24" t="n">
        <v>52</v>
      </c>
      <c r="V94" s="36"/>
      <c r="W94" s="0" t="str">
        <f aca="false">B94</f>
        <v>Karlowski 1975c (#3 vs #2)</v>
      </c>
    </row>
    <row r="96" customFormat="false" ht="14.1" hidden="false" customHeight="true" outlineLevel="0" collapsed="false">
      <c r="B96" s="0" t="s">
        <v>334</v>
      </c>
      <c r="G96" s="44" t="n">
        <v>7.41</v>
      </c>
      <c r="J96" s="44" t="n">
        <v>3.59</v>
      </c>
      <c r="K96" s="50" t="n">
        <f aca="false">AA96+2*AC96</f>
        <v>147</v>
      </c>
      <c r="Q96" s="44" t="n">
        <v>7.57</v>
      </c>
      <c r="T96" s="44" t="n">
        <v>3.79</v>
      </c>
      <c r="U96" s="53" t="n">
        <f aca="false">AF96+2*AH96</f>
        <v>184</v>
      </c>
      <c r="V96" s="36"/>
      <c r="W96" s="0" t="str">
        <f aca="false">B96</f>
        <v>Tyrrell 1977 (Males)</v>
      </c>
      <c r="Y96" s="0" t="s">
        <v>335</v>
      </c>
      <c r="AA96" s="7" t="n">
        <v>101</v>
      </c>
      <c r="AB96" s="0" t="s">
        <v>336</v>
      </c>
      <c r="AC96" s="7" t="n">
        <v>23</v>
      </c>
      <c r="AD96" s="0" t="s">
        <v>337</v>
      </c>
      <c r="AF96" s="7" t="n">
        <v>98</v>
      </c>
      <c r="AG96" s="0" t="s">
        <v>338</v>
      </c>
      <c r="AH96" s="7" t="n">
        <v>43</v>
      </c>
    </row>
    <row r="97" customFormat="false" ht="14.1" hidden="false" customHeight="true" outlineLevel="0" collapsed="false">
      <c r="B97" s="0" t="s">
        <v>339</v>
      </c>
      <c r="G97" s="44" t="n">
        <v>8.96</v>
      </c>
      <c r="J97" s="44" t="n">
        <v>5.3</v>
      </c>
      <c r="K97" s="50" t="n">
        <f aca="false">AA97+2*AC97</f>
        <v>127</v>
      </c>
      <c r="Q97" s="44" t="n">
        <v>8.24</v>
      </c>
      <c r="T97" s="44" t="n">
        <v>4.78</v>
      </c>
      <c r="U97" s="53" t="n">
        <f aca="false">AF97+2*AH97</f>
        <v>145</v>
      </c>
      <c r="V97" s="36"/>
      <c r="W97" s="0" t="str">
        <f aca="false">B97</f>
        <v>Tyrrell 1977a (Females)</v>
      </c>
      <c r="Y97" s="0" t="s">
        <v>340</v>
      </c>
      <c r="AA97" s="7" t="n">
        <v>75</v>
      </c>
      <c r="AB97" s="0" t="s">
        <v>336</v>
      </c>
      <c r="AC97" s="7" t="n">
        <v>26</v>
      </c>
      <c r="AD97" s="0" t="s">
        <v>337</v>
      </c>
      <c r="AF97" s="7" t="n">
        <v>87</v>
      </c>
      <c r="AG97" s="0" t="s">
        <v>338</v>
      </c>
      <c r="AH97" s="7" t="n">
        <v>29</v>
      </c>
    </row>
    <row r="100" customFormat="false" ht="17.55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69"/>
  <sheetViews>
    <sheetView windowProtection="false" showFormulas="false" showGridLines="true" showRowColHeaders="true" showZeros="true" rightToLeft="false" tabSelected="false" showOutlineSymbols="true" defaultGridColor="true" view="normal" topLeftCell="N43" colorId="64" zoomScale="120" zoomScaleNormal="120" zoomScalePageLayoutView="100" workbookViewId="0">
      <selection pane="topLeft" activeCell="R72" activeCellId="0" sqref="R72"/>
    </sheetView>
  </sheetViews>
  <sheetFormatPr defaultRowHeight="12.8"/>
  <cols>
    <col collapsed="false" hidden="false" max="2" min="2" style="0" width="25.0102040816327"/>
    <col collapsed="false" hidden="false" max="3" min="3" style="0" width="12.4030612244898"/>
    <col collapsed="false" hidden="false" max="4" min="4" style="1" width="9.1530612244898"/>
    <col collapsed="false" hidden="false" max="6" min="5" style="1" width="9.35714285714286"/>
    <col collapsed="false" hidden="false" max="7" min="7" style="0" width="9.35714285714286"/>
    <col collapsed="false" hidden="false" max="8" min="8" style="1" width="10.4591836734694"/>
    <col collapsed="false" hidden="false" max="9" min="9" style="36" width="7.71428571428571"/>
    <col collapsed="false" hidden="false" max="10" min="10" style="30" width="9.47448979591837"/>
    <col collapsed="false" hidden="false" max="11" min="11" style="1" width="10.6734693877551"/>
    <col collapsed="false" hidden="false" max="12" min="12" style="1" width="10.3418367346939"/>
    <col collapsed="false" hidden="false" max="13" min="13" style="0" width="2.89795918367347"/>
    <col collapsed="false" hidden="false" max="14" min="14" style="39" width="7.75"/>
    <col collapsed="false" hidden="false" max="15" min="15" style="1" width="9.20408163265306"/>
    <col collapsed="false" hidden="false" max="16" min="16" style="1" width="10.6734693877551"/>
    <col collapsed="false" hidden="false" max="17" min="17" style="1" width="9.05102040816327"/>
    <col collapsed="false" hidden="false" max="18" min="18" style="1" width="10.6173469387755"/>
    <col collapsed="false" hidden="false" max="19" min="19" style="36" width="8.63775510204082"/>
    <col collapsed="false" hidden="false" max="20" min="20" style="30" width="6.93877551020408"/>
    <col collapsed="false" hidden="false" max="21" min="21" style="1" width="6.93877551020408"/>
    <col collapsed="false" hidden="false" max="22" min="22" style="1" width="9.87244897959184"/>
    <col collapsed="false" hidden="false" max="23" min="23" style="1" width="10.1326530612245"/>
    <col collapsed="false" hidden="false" max="24" min="24" style="0" width="23.6122448979592"/>
    <col collapsed="false" hidden="false" max="25" min="25" style="0" width="12.9030612244898"/>
  </cols>
  <sheetData>
    <row r="1" customFormat="false" ht="14.1" hidden="false" customHeight="true" outlineLevel="0" collapsed="false"/>
    <row r="2" customFormat="false" ht="17.55" hidden="false" customHeight="true" outlineLevel="0" collapsed="false">
      <c r="B2" s="8" t="s">
        <v>341</v>
      </c>
      <c r="C2" s="8"/>
      <c r="D2" s="40"/>
      <c r="E2" s="31"/>
      <c r="F2" s="31"/>
      <c r="G2" s="41"/>
      <c r="H2" s="31"/>
      <c r="I2" s="42"/>
      <c r="J2" s="43"/>
      <c r="K2" s="31"/>
    </row>
    <row r="3" customFormat="false" ht="17.55" hidden="false" customHeight="true" outlineLevel="0" collapsed="false">
      <c r="B3" s="41"/>
      <c r="C3" s="41"/>
      <c r="D3" s="40"/>
      <c r="E3" s="31"/>
      <c r="F3" s="31"/>
      <c r="G3" s="41"/>
      <c r="H3" s="31"/>
      <c r="I3" s="42"/>
      <c r="J3" s="43"/>
      <c r="K3" s="0"/>
      <c r="L3" s="0"/>
      <c r="N3" s="0"/>
      <c r="O3" s="0"/>
      <c r="P3" s="0"/>
      <c r="Q3" s="0"/>
      <c r="R3" s="0"/>
      <c r="S3" s="0"/>
      <c r="T3" s="0"/>
      <c r="U3" s="0"/>
      <c r="V3" s="0"/>
      <c r="W3" s="0"/>
    </row>
    <row r="4" customFormat="false" ht="17.55" hidden="false" customHeight="true" outlineLevel="0" collapsed="false">
      <c r="B4" s="41"/>
      <c r="C4" s="41"/>
      <c r="D4" s="40"/>
      <c r="E4" s="31"/>
      <c r="F4" s="31"/>
      <c r="G4" s="41"/>
      <c r="H4" s="31"/>
      <c r="I4" s="42"/>
      <c r="J4" s="43"/>
      <c r="K4" s="31"/>
    </row>
    <row r="5" customFormat="false" ht="14.1" hidden="false" customHeight="true" outlineLevel="0" collapsed="false"/>
    <row r="6" customFormat="false" ht="14.1" hidden="false" customHeight="true" outlineLevel="0" collapsed="false">
      <c r="B6" s="5"/>
      <c r="C6" s="5"/>
      <c r="H6" s="30"/>
      <c r="K6" s="7" t="s">
        <v>342</v>
      </c>
      <c r="U6" s="7" t="s">
        <v>342</v>
      </c>
      <c r="X6" s="5"/>
    </row>
    <row r="7" customFormat="false" ht="14.1" hidden="false" customHeight="true" outlineLevel="0" collapsed="false">
      <c r="B7" s="5"/>
      <c r="C7" s="5"/>
      <c r="H7" s="30"/>
      <c r="J7" s="44"/>
      <c r="K7" s="10" t="s">
        <v>3</v>
      </c>
      <c r="U7" s="10" t="s">
        <v>3</v>
      </c>
      <c r="X7" s="5"/>
    </row>
    <row r="8" customFormat="false" ht="14.1" hidden="false" customHeight="true" outlineLevel="0" collapsed="false">
      <c r="B8" s="5"/>
      <c r="C8" s="5"/>
      <c r="H8" s="30"/>
      <c r="K8" s="0"/>
      <c r="U8" s="0"/>
      <c r="X8" s="5"/>
    </row>
    <row r="9" customFormat="false" ht="17.55" hidden="false" customHeight="true" outlineLevel="0" collapsed="false">
      <c r="B9" s="5" t="s">
        <v>343</v>
      </c>
      <c r="C9" s="5"/>
      <c r="D9" s="45" t="s">
        <v>192</v>
      </c>
      <c r="E9" s="7"/>
      <c r="F9" s="7"/>
      <c r="G9" s="7"/>
      <c r="H9" s="5"/>
      <c r="I9" s="46"/>
      <c r="J9" s="44"/>
      <c r="K9" s="7"/>
      <c r="L9" s="7"/>
      <c r="M9" s="12"/>
      <c r="N9" s="45" t="s">
        <v>193</v>
      </c>
      <c r="O9" s="7"/>
      <c r="P9" s="7"/>
      <c r="Q9" s="7"/>
      <c r="R9" s="5"/>
      <c r="S9" s="46"/>
      <c r="T9" s="44"/>
      <c r="U9" s="7"/>
      <c r="V9" s="7"/>
      <c r="X9" s="5" t="str">
        <f aca="false">B11</f>
        <v>Severity</v>
      </c>
      <c r="Y9" s="0" t="s">
        <v>294</v>
      </c>
    </row>
    <row r="10" customFormat="false" ht="14.1" hidden="false" customHeight="true" outlineLevel="0" collapsed="false">
      <c r="D10" s="7"/>
      <c r="E10" s="7"/>
      <c r="F10" s="7"/>
      <c r="G10" s="7"/>
      <c r="H10" s="7" t="s">
        <v>281</v>
      </c>
      <c r="I10" s="46"/>
      <c r="J10" s="44"/>
      <c r="K10" s="7"/>
      <c r="L10" s="7"/>
      <c r="M10" s="12"/>
      <c r="N10" s="7"/>
      <c r="O10" s="7"/>
      <c r="P10" s="7"/>
      <c r="Q10" s="7"/>
      <c r="R10" s="7" t="s">
        <v>281</v>
      </c>
      <c r="S10" s="46"/>
      <c r="T10" s="44"/>
      <c r="U10" s="7"/>
      <c r="V10" s="7"/>
    </row>
    <row r="11" customFormat="false" ht="14.1" hidden="false" customHeight="true" outlineLevel="0" collapsed="false">
      <c r="B11" s="5" t="s">
        <v>344</v>
      </c>
      <c r="C11" s="5"/>
      <c r="D11" s="24" t="s">
        <v>151</v>
      </c>
      <c r="E11" s="7"/>
      <c r="F11" s="7" t="s">
        <v>282</v>
      </c>
      <c r="G11" s="5" t="s">
        <v>283</v>
      </c>
      <c r="H11" s="44" t="s">
        <v>284</v>
      </c>
      <c r="I11" s="46"/>
      <c r="J11" s="44"/>
      <c r="K11" s="44"/>
      <c r="L11" s="7" t="s">
        <v>285</v>
      </c>
      <c r="N11" s="24" t="s">
        <v>151</v>
      </c>
      <c r="O11" s="7"/>
      <c r="P11" s="7" t="s">
        <v>282</v>
      </c>
      <c r="Q11" s="5" t="s">
        <v>283</v>
      </c>
      <c r="R11" s="44" t="s">
        <v>284</v>
      </c>
      <c r="S11" s="46"/>
      <c r="T11" s="44"/>
      <c r="U11" s="44"/>
      <c r="V11" s="7" t="s">
        <v>285</v>
      </c>
      <c r="W11" s="46" t="s">
        <v>286</v>
      </c>
    </row>
    <row r="12" customFormat="false" ht="14.1" hidden="false" customHeight="true" outlineLevel="0" collapsed="false">
      <c r="D12" s="24" t="s">
        <v>288</v>
      </c>
      <c r="E12" s="7" t="s">
        <v>289</v>
      </c>
      <c r="F12" s="7" t="s">
        <v>290</v>
      </c>
      <c r="G12" s="5" t="s">
        <v>290</v>
      </c>
      <c r="H12" s="44" t="s">
        <v>344</v>
      </c>
      <c r="I12" s="46" t="s">
        <v>291</v>
      </c>
      <c r="J12" s="44"/>
      <c r="K12" s="7" t="s">
        <v>292</v>
      </c>
      <c r="L12" s="7" t="s">
        <v>202</v>
      </c>
      <c r="N12" s="24" t="s">
        <v>288</v>
      </c>
      <c r="O12" s="7" t="s">
        <v>289</v>
      </c>
      <c r="P12" s="7" t="s">
        <v>290</v>
      </c>
      <c r="Q12" s="5" t="s">
        <v>290</v>
      </c>
      <c r="R12" s="44" t="s">
        <v>344</v>
      </c>
      <c r="S12" s="46" t="s">
        <v>291</v>
      </c>
      <c r="T12" s="44"/>
      <c r="U12" s="7" t="s">
        <v>292</v>
      </c>
      <c r="V12" s="7" t="s">
        <v>202</v>
      </c>
      <c r="W12" s="46" t="s">
        <v>293</v>
      </c>
    </row>
    <row r="13" customFormat="false" ht="14.1" hidden="false" customHeight="true" outlineLevel="0" collapsed="false">
      <c r="G13" s="1"/>
      <c r="H13" s="30"/>
      <c r="M13" s="12"/>
      <c r="V13" s="39"/>
    </row>
    <row r="14" customFormat="false" ht="14.1" hidden="false" customHeight="true" outlineLevel="0" collapsed="false">
      <c r="D14" s="7"/>
      <c r="E14" s="7"/>
      <c r="F14" s="7"/>
      <c r="G14" s="7"/>
      <c r="H14" s="30"/>
      <c r="J14" s="30" t="s">
        <v>345</v>
      </c>
      <c r="T14" s="30" t="s">
        <v>345</v>
      </c>
      <c r="V14" s="39"/>
    </row>
    <row r="15" customFormat="false" ht="14.1" hidden="false" customHeight="true" outlineLevel="0" collapsed="false">
      <c r="B15" s="0" t="s">
        <v>206</v>
      </c>
      <c r="G15" s="1"/>
      <c r="H15" s="44" t="n">
        <v>1.04</v>
      </c>
      <c r="I15" s="46" t="n">
        <v>0.074</v>
      </c>
      <c r="J15" s="1" t="n">
        <f aca="false">K15/H15</f>
        <v>1.68531005171577</v>
      </c>
      <c r="K15" s="30" t="n">
        <f aca="false">SQRT(L15)*I15</f>
        <v>1.7527224537844</v>
      </c>
      <c r="L15" s="7" t="n">
        <v>561</v>
      </c>
      <c r="R15" s="44" t="n">
        <v>1.32</v>
      </c>
      <c r="S15" s="46" t="n">
        <v>0.087</v>
      </c>
      <c r="T15" s="1" t="n">
        <f aca="false">U15/R15</f>
        <v>1.62649962590154</v>
      </c>
      <c r="U15" s="30" t="n">
        <f aca="false">SQRT(V15)*S15</f>
        <v>2.14697950619003</v>
      </c>
      <c r="V15" s="24" t="n">
        <v>609</v>
      </c>
      <c r="W15" s="36"/>
      <c r="X15" s="0" t="str">
        <f aca="false">B15</f>
        <v>Anderson-1972</v>
      </c>
      <c r="Y15" s="0" t="s">
        <v>201</v>
      </c>
    </row>
    <row r="16" customFormat="false" ht="14.1" hidden="false" customHeight="true" outlineLevel="0" collapsed="false">
      <c r="G16" s="1"/>
      <c r="H16" s="54" t="s">
        <v>346</v>
      </c>
      <c r="I16" s="0"/>
      <c r="J16" s="44"/>
      <c r="K16" s="30"/>
      <c r="L16" s="7"/>
      <c r="R16" s="54" t="s">
        <v>346</v>
      </c>
      <c r="S16" s="46"/>
      <c r="T16" s="44"/>
      <c r="U16" s="30"/>
      <c r="V16" s="24"/>
      <c r="W16" s="36"/>
    </row>
    <row r="17" customFormat="false" ht="14.1" hidden="false" customHeight="true" outlineLevel="0" collapsed="false">
      <c r="B17" s="0" t="s">
        <v>296</v>
      </c>
      <c r="C17" s="5" t="s">
        <v>347</v>
      </c>
      <c r="D17" s="7" t="n">
        <v>471</v>
      </c>
      <c r="E17" s="7"/>
      <c r="G17" s="1"/>
      <c r="H17" s="30" t="n">
        <f aca="false">D17/L17</f>
        <v>1.0802752293578</v>
      </c>
      <c r="K17" s="30" t="n">
        <f aca="false">$J$15*H17</f>
        <v>1.82059870265625</v>
      </c>
      <c r="L17" s="7" t="n">
        <v>436</v>
      </c>
      <c r="N17" s="24" t="n">
        <v>502</v>
      </c>
      <c r="O17" s="7"/>
      <c r="R17" s="30" t="n">
        <f aca="false">N17/V17</f>
        <v>1.1487414187643</v>
      </c>
      <c r="U17" s="30" t="n">
        <f aca="false">$T$15*R17</f>
        <v>1.86842748787774</v>
      </c>
      <c r="V17" s="7" t="n">
        <v>437</v>
      </c>
      <c r="W17" s="0" t="n">
        <v>105</v>
      </c>
      <c r="X17" s="0" t="str">
        <f aca="false">B17</f>
        <v>Anderson-1974 #1 (1+4g)</v>
      </c>
      <c r="Y17" s="0" t="s">
        <v>203</v>
      </c>
    </row>
    <row r="18" customFormat="false" ht="14.1" hidden="false" customHeight="true" outlineLevel="0" collapsed="false">
      <c r="B18" s="0" t="s">
        <v>297</v>
      </c>
      <c r="C18" s="5" t="s">
        <v>347</v>
      </c>
      <c r="D18" s="7" t="n">
        <v>476</v>
      </c>
      <c r="E18" s="7"/>
      <c r="G18" s="1"/>
      <c r="H18" s="30" t="n">
        <f aca="false">D18/L18</f>
        <v>1.14975845410628</v>
      </c>
      <c r="K18" s="30" t="n">
        <f aca="false">J$15*H18</f>
        <v>1.9376994797505</v>
      </c>
      <c r="L18" s="7" t="n">
        <v>414</v>
      </c>
      <c r="R18" s="30"/>
      <c r="U18" s="30"/>
      <c r="V18" s="39"/>
      <c r="W18" s="0" t="n">
        <v>99</v>
      </c>
    </row>
    <row r="19" customFormat="false" ht="14.1" hidden="false" customHeight="true" outlineLevel="0" collapsed="false">
      <c r="B19" s="0" t="s">
        <v>298</v>
      </c>
      <c r="C19" s="5" t="s">
        <v>347</v>
      </c>
      <c r="D19" s="7" t="n">
        <v>554</v>
      </c>
      <c r="E19" s="7"/>
      <c r="G19" s="1"/>
      <c r="H19" s="30" t="n">
        <f aca="false">D19/L19</f>
        <v>1.19139784946237</v>
      </c>
      <c r="K19" s="30" t="n">
        <f aca="false">J$15*H19</f>
        <v>2.00787477129147</v>
      </c>
      <c r="L19" s="7" t="n">
        <v>465</v>
      </c>
      <c r="R19" s="30"/>
      <c r="U19" s="30"/>
      <c r="V19" s="39"/>
      <c r="W19" s="0" t="n">
        <v>111</v>
      </c>
      <c r="AB19" s="0" t="s">
        <v>193</v>
      </c>
    </row>
    <row r="20" customFormat="false" ht="14.1" hidden="false" customHeight="true" outlineLevel="0" collapsed="false">
      <c r="B20" s="0" t="s">
        <v>299</v>
      </c>
      <c r="C20" s="5" t="s">
        <v>347</v>
      </c>
      <c r="D20" s="7" t="n">
        <v>570</v>
      </c>
      <c r="E20" s="7"/>
      <c r="G20" s="1"/>
      <c r="H20" s="30" t="n">
        <f aca="false">D20/L20</f>
        <v>1.12204724409449</v>
      </c>
      <c r="K20" s="30" t="n">
        <f aca="false">J$15*H20</f>
        <v>1.89099749897242</v>
      </c>
      <c r="L20" s="7" t="n">
        <v>508</v>
      </c>
      <c r="R20" s="30"/>
      <c r="U20" s="30"/>
      <c r="V20" s="39"/>
      <c r="W20" s="0" t="n">
        <v>122</v>
      </c>
      <c r="AB20" s="0" t="s">
        <v>295</v>
      </c>
    </row>
    <row r="21" customFormat="false" ht="14.1" hidden="false" customHeight="true" outlineLevel="0" collapsed="false">
      <c r="B21" s="0" t="s">
        <v>316</v>
      </c>
      <c r="C21" s="0" t="s">
        <v>348</v>
      </c>
      <c r="E21" s="7" t="n">
        <v>80</v>
      </c>
      <c r="F21" s="7" t="n">
        <v>0.78</v>
      </c>
      <c r="H21" s="44" t="n">
        <v>2.68</v>
      </c>
      <c r="K21" s="44" t="n">
        <v>1.88</v>
      </c>
      <c r="L21" s="49" t="n">
        <f aca="false">E21*F21</f>
        <v>62.4</v>
      </c>
      <c r="O21" s="7" t="n">
        <v>78</v>
      </c>
      <c r="P21" s="7" t="n">
        <v>0.71</v>
      </c>
      <c r="R21" s="44" t="n">
        <v>3.87</v>
      </c>
      <c r="U21" s="44" t="n">
        <v>3.45</v>
      </c>
      <c r="V21" s="49" t="n">
        <f aca="false">O21*P21</f>
        <v>55.38</v>
      </c>
      <c r="W21" s="36"/>
      <c r="X21" s="0" t="str">
        <f aca="false">B21</f>
        <v>Ludvigsson-1977 Pilot</v>
      </c>
      <c r="Y21" s="1" t="s">
        <v>211</v>
      </c>
      <c r="AB21" s="5" t="n">
        <v>437</v>
      </c>
      <c r="AC21" s="12" t="s">
        <v>212</v>
      </c>
    </row>
    <row r="22" customFormat="false" ht="14.1" hidden="false" customHeight="true" outlineLevel="0" collapsed="false">
      <c r="B22" s="0" t="s">
        <v>317</v>
      </c>
      <c r="C22" s="0" t="s">
        <v>348</v>
      </c>
      <c r="E22" s="7" t="n">
        <v>304</v>
      </c>
      <c r="F22" s="7" t="n">
        <v>1.39</v>
      </c>
      <c r="H22" s="44" t="n">
        <v>2.77</v>
      </c>
      <c r="K22" s="44" t="n">
        <v>1.74</v>
      </c>
      <c r="L22" s="49" t="n">
        <f aca="false">E22*F22</f>
        <v>422.56</v>
      </c>
      <c r="O22" s="7" t="n">
        <v>311</v>
      </c>
      <c r="P22" s="7" t="n">
        <v>1.28</v>
      </c>
      <c r="R22" s="44" t="n">
        <v>3.22</v>
      </c>
      <c r="U22" s="44" t="n">
        <v>2.38</v>
      </c>
      <c r="V22" s="49" t="n">
        <f aca="false">O22*P22</f>
        <v>398.08</v>
      </c>
      <c r="W22" s="36"/>
      <c r="X22" s="0" t="str">
        <f aca="false">B22</f>
        <v>Ludvigsson-1977a Large</v>
      </c>
      <c r="Y22" s="1" t="s">
        <v>216</v>
      </c>
      <c r="Z22" s="7" t="n">
        <v>436</v>
      </c>
      <c r="AA22" s="0" t="n">
        <f aca="false">Z22/Z$27</f>
        <v>0.239166209544706</v>
      </c>
      <c r="AB22" s="0" t="n">
        <f aca="false">AA22*AB$21</f>
        <v>104.515633571037</v>
      </c>
      <c r="AC22" s="0" t="n">
        <v>105</v>
      </c>
    </row>
    <row r="23" customFormat="false" ht="26.1" hidden="false" customHeight="true" outlineLevel="0" collapsed="false">
      <c r="B23" s="0" t="s">
        <v>275</v>
      </c>
      <c r="C23" s="55" t="s">
        <v>349</v>
      </c>
      <c r="H23" s="34" t="n">
        <v>0.8</v>
      </c>
      <c r="K23" s="34" t="n">
        <v>0.8</v>
      </c>
      <c r="L23" s="7" t="n">
        <v>6</v>
      </c>
      <c r="R23" s="34" t="n">
        <v>2.4</v>
      </c>
      <c r="U23" s="34" t="n">
        <v>2.1</v>
      </c>
      <c r="V23" s="24" t="n">
        <v>14</v>
      </c>
      <c r="W23" s="36"/>
      <c r="X23" s="0" t="str">
        <f aca="false">B23</f>
        <v>Sabiston-1974</v>
      </c>
      <c r="Y23" s="1" t="s">
        <v>219</v>
      </c>
      <c r="Z23" s="7" t="n">
        <v>414</v>
      </c>
      <c r="AA23" s="0" t="n">
        <f aca="false">Z23/Z$27</f>
        <v>0.227098189797038</v>
      </c>
      <c r="AB23" s="0" t="n">
        <f aca="false">AA23*AB$21</f>
        <v>99.2419089413055</v>
      </c>
      <c r="AC23" s="0" t="n">
        <v>99</v>
      </c>
    </row>
    <row r="24" customFormat="false" ht="14.1" hidden="false" customHeight="true" outlineLevel="0" collapsed="false">
      <c r="H24" s="30"/>
      <c r="K24" s="30"/>
      <c r="R24" s="30"/>
      <c r="U24" s="30"/>
      <c r="V24" s="39"/>
      <c r="W24" s="36"/>
      <c r="Y24" s="1" t="s">
        <v>221</v>
      </c>
      <c r="Z24" s="7" t="n">
        <v>465</v>
      </c>
      <c r="AA24" s="0" t="n">
        <f aca="false">Z24/Z$27</f>
        <v>0.255074053757542</v>
      </c>
      <c r="AB24" s="0" t="n">
        <f aca="false">AA24*AB$21</f>
        <v>111.467361492046</v>
      </c>
      <c r="AC24" s="0" t="n">
        <v>111</v>
      </c>
    </row>
    <row r="25" customFormat="false" ht="14.1" hidden="false" customHeight="true" outlineLevel="0" collapsed="false">
      <c r="D25" s="0"/>
      <c r="E25" s="0"/>
      <c r="F25" s="0"/>
      <c r="H25" s="0"/>
      <c r="I25" s="0"/>
      <c r="J25" s="22"/>
      <c r="K25" s="0"/>
      <c r="L25" s="0"/>
      <c r="N25" s="0"/>
      <c r="O25" s="0"/>
      <c r="P25" s="0"/>
      <c r="Q25" s="0"/>
      <c r="R25" s="0"/>
      <c r="S25" s="0"/>
      <c r="T25" s="22"/>
      <c r="U25" s="0"/>
      <c r="V25" s="0"/>
      <c r="W25" s="0"/>
      <c r="Y25" s="1" t="s">
        <v>224</v>
      </c>
      <c r="Z25" s="7" t="n">
        <v>508</v>
      </c>
      <c r="AA25" s="0" t="n">
        <f aca="false">Z25/Z$27</f>
        <v>0.278661546900713</v>
      </c>
      <c r="AB25" s="0" t="n">
        <f aca="false">AA25*AB$21</f>
        <v>121.775095995612</v>
      </c>
      <c r="AC25" s="0" t="n">
        <v>122</v>
      </c>
    </row>
    <row r="26" customFormat="false" ht="14.1" hidden="false" customHeight="true" outlineLevel="0" collapsed="false">
      <c r="D26" s="0"/>
      <c r="E26" s="0"/>
      <c r="F26" s="0"/>
      <c r="H26" s="0"/>
      <c r="I26" s="0"/>
      <c r="J26" s="22"/>
      <c r="K26" s="0"/>
      <c r="L26" s="0"/>
      <c r="N26" s="0"/>
      <c r="O26" s="0"/>
      <c r="P26" s="0"/>
      <c r="Q26" s="0"/>
      <c r="R26" s="0"/>
      <c r="S26" s="0"/>
      <c r="T26" s="22"/>
      <c r="U26" s="0"/>
      <c r="V26" s="0"/>
      <c r="W26" s="0"/>
      <c r="Y26" s="1"/>
      <c r="Z26" s="12" t="s">
        <v>151</v>
      </c>
      <c r="AC26" s="12" t="s">
        <v>151</v>
      </c>
    </row>
    <row r="27" customFormat="false" ht="14.1" hidden="false" customHeight="true" outlineLevel="0" collapsed="false">
      <c r="B27" s="0" t="s">
        <v>300</v>
      </c>
      <c r="C27" s="7" t="s">
        <v>350</v>
      </c>
      <c r="E27" s="7" t="n">
        <v>51</v>
      </c>
      <c r="F27" s="7" t="n">
        <v>1.84</v>
      </c>
      <c r="H27" s="44" t="n">
        <v>23.6</v>
      </c>
      <c r="K27" s="30" t="n">
        <f aca="false">K28</f>
        <v>26.5770968278832</v>
      </c>
      <c r="L27" s="49" t="n">
        <f aca="false">E27*F27</f>
        <v>93.84</v>
      </c>
      <c r="O27" s="7" t="n">
        <v>51</v>
      </c>
      <c r="P27" s="7" t="n">
        <v>1.37</v>
      </c>
      <c r="R27" s="44" t="n">
        <v>22.2</v>
      </c>
      <c r="U27" s="30" t="n">
        <f aca="false">U28</f>
        <v>26.5770968278832</v>
      </c>
      <c r="V27" s="49" t="n">
        <f aca="false">O27*P27</f>
        <v>69.87</v>
      </c>
      <c r="W27" s="36"/>
      <c r="X27" s="0" t="str">
        <f aca="false">B27</f>
        <v>Carr-1981 Together</v>
      </c>
      <c r="Y27" s="1"/>
      <c r="Z27" s="0" t="n">
        <f aca="false">SUM(Z22:Z25)</f>
        <v>1823</v>
      </c>
      <c r="AC27" s="5" t="n">
        <f aca="false">SUM(AC22:AC25)</f>
        <v>437</v>
      </c>
    </row>
    <row r="28" customFormat="false" ht="14.1" hidden="false" customHeight="true" outlineLevel="0" collapsed="false">
      <c r="B28" s="0" t="s">
        <v>301</v>
      </c>
      <c r="C28" s="7" t="s">
        <v>350</v>
      </c>
      <c r="E28" s="7" t="n">
        <v>44</v>
      </c>
      <c r="F28" s="7" t="n">
        <v>1.3</v>
      </c>
      <c r="H28" s="44" t="n">
        <v>21.9</v>
      </c>
      <c r="K28" s="30" t="n">
        <f aca="false">'Calculations 2'!G58</f>
        <v>26.5770968278832</v>
      </c>
      <c r="L28" s="49" t="n">
        <f aca="false">E28*F28</f>
        <v>57.2</v>
      </c>
      <c r="O28" s="7" t="n">
        <v>44</v>
      </c>
      <c r="P28" s="7" t="n">
        <v>1.61</v>
      </c>
      <c r="R28" s="44" t="n">
        <v>33.6</v>
      </c>
      <c r="U28" s="30" t="n">
        <f aca="false">K28</f>
        <v>26.5770968278832</v>
      </c>
      <c r="V28" s="49" t="n">
        <f aca="false">O28*P28</f>
        <v>70.84</v>
      </c>
      <c r="W28" s="36"/>
      <c r="X28" s="0" t="str">
        <f aca="false">B28</f>
        <v>Carr-1981a Apart</v>
      </c>
      <c r="Y28" s="0" t="s">
        <v>351</v>
      </c>
    </row>
    <row r="29" customFormat="false" ht="14.1" hidden="false" customHeight="true" outlineLevel="0" collapsed="false">
      <c r="B29" s="0" t="s">
        <v>312</v>
      </c>
      <c r="C29" s="7" t="s">
        <v>350</v>
      </c>
      <c r="H29" s="24" t="n">
        <v>26</v>
      </c>
      <c r="K29" s="24" t="n">
        <v>30</v>
      </c>
      <c r="L29" s="7" t="n">
        <v>30</v>
      </c>
      <c r="R29" s="24" t="n">
        <v>66</v>
      </c>
      <c r="U29" s="24" t="n">
        <v>85</v>
      </c>
      <c r="V29" s="24" t="n">
        <v>21</v>
      </c>
      <c r="W29" s="36"/>
      <c r="X29" s="0" t="str">
        <f aca="false">B29</f>
        <v>Constantini 2011 Male</v>
      </c>
    </row>
    <row r="30" customFormat="false" ht="14.1" hidden="false" customHeight="true" outlineLevel="0" collapsed="false">
      <c r="B30" s="0" t="s">
        <v>313</v>
      </c>
      <c r="C30" s="7" t="s">
        <v>350</v>
      </c>
      <c r="H30" s="24" t="n">
        <v>64</v>
      </c>
      <c r="K30" s="24" t="n">
        <v>51</v>
      </c>
      <c r="L30" s="7" t="n">
        <v>25</v>
      </c>
      <c r="R30" s="24" t="n">
        <v>52</v>
      </c>
      <c r="U30" s="24" t="n">
        <v>89</v>
      </c>
      <c r="V30" s="24" t="n">
        <v>22</v>
      </c>
      <c r="W30" s="36"/>
      <c r="X30" s="0" t="str">
        <f aca="false">B30</f>
        <v>Constantini 2011a Female</v>
      </c>
    </row>
    <row r="31" customFormat="false" ht="14.1" hidden="false" customHeight="true" outlineLevel="0" collapsed="false">
      <c r="B31" s="0" t="s">
        <v>303</v>
      </c>
      <c r="C31" s="7" t="s">
        <v>350</v>
      </c>
      <c r="H31" s="44" t="n">
        <v>16.1</v>
      </c>
      <c r="I31" s="34"/>
      <c r="J31" s="44"/>
      <c r="K31" s="44" t="n">
        <v>14.6</v>
      </c>
      <c r="L31" s="7" t="n">
        <v>14</v>
      </c>
      <c r="R31" s="44" t="n">
        <v>37.4</v>
      </c>
      <c r="S31" s="34"/>
      <c r="T31" s="44"/>
      <c r="U31" s="44" t="n">
        <v>52.7</v>
      </c>
      <c r="V31" s="24" t="n">
        <v>12</v>
      </c>
      <c r="W31" s="36"/>
      <c r="X31" s="0" t="str">
        <f aca="false">B31</f>
        <v>Himmelstein 1998sed</v>
      </c>
    </row>
    <row r="32" customFormat="false" ht="14.1" hidden="false" customHeight="true" outlineLevel="0" collapsed="false">
      <c r="B32" s="0" t="s">
        <v>318</v>
      </c>
      <c r="C32" s="7" t="s">
        <v>350</v>
      </c>
      <c r="E32" s="7" t="n">
        <v>11</v>
      </c>
      <c r="F32" s="7" t="n">
        <v>4.8</v>
      </c>
      <c r="H32" s="34" t="n">
        <v>22.5</v>
      </c>
      <c r="K32" s="30" t="n">
        <f aca="false">'Calculations 2'!L78</f>
        <v>48.080565334832</v>
      </c>
      <c r="L32" s="50" t="n">
        <f aca="false">E32*F32</f>
        <v>52.8</v>
      </c>
      <c r="O32" s="7" t="n">
        <v>11</v>
      </c>
      <c r="P32" s="7" t="n">
        <v>3.8</v>
      </c>
      <c r="R32" s="34" t="n">
        <v>27.3</v>
      </c>
      <c r="U32" s="30" t="n">
        <f aca="false">K32</f>
        <v>48.080565334832</v>
      </c>
      <c r="V32" s="50" t="n">
        <f aca="false">O32*P32</f>
        <v>41.8</v>
      </c>
      <c r="W32" s="36"/>
      <c r="X32" s="0" t="str">
        <f aca="false">B32</f>
        <v>Miller-1977_1000mg</v>
      </c>
    </row>
    <row r="33" customFormat="false" ht="14.1" hidden="false" customHeight="true" outlineLevel="0" collapsed="false">
      <c r="B33" s="0" t="s">
        <v>247</v>
      </c>
      <c r="C33" s="7" t="s">
        <v>350</v>
      </c>
      <c r="H33" s="44" t="n">
        <v>0.87</v>
      </c>
      <c r="K33" s="30" t="n">
        <f aca="false">'Calculations 2'!G44</f>
        <v>0.76599149738774</v>
      </c>
      <c r="L33" s="7" t="n">
        <v>600</v>
      </c>
      <c r="R33" s="44" t="n">
        <v>0.97</v>
      </c>
      <c r="U33" s="30" t="n">
        <f aca="false">K33</f>
        <v>0.76599149738774</v>
      </c>
      <c r="V33" s="24" t="n">
        <v>619</v>
      </c>
      <c r="W33" s="36"/>
      <c r="X33" s="0" t="str">
        <f aca="false">B33</f>
        <v>Pitt-1979</v>
      </c>
    </row>
    <row r="34" customFormat="false" ht="14.1" hidden="false" customHeight="true" outlineLevel="0" collapsed="false">
      <c r="B34" s="56" t="s">
        <v>352</v>
      </c>
      <c r="C34" s="56"/>
      <c r="H34" s="44"/>
      <c r="K34" s="30"/>
      <c r="L34" s="7"/>
      <c r="R34" s="44"/>
      <c r="U34" s="30"/>
      <c r="V34" s="24"/>
      <c r="W34" s="36"/>
    </row>
    <row r="35" customFormat="false" ht="14.1" hidden="false" customHeight="true" outlineLevel="0" collapsed="false">
      <c r="B35" s="56" t="s">
        <v>353</v>
      </c>
      <c r="C35" s="56"/>
      <c r="E35" s="7"/>
      <c r="F35" s="7"/>
      <c r="H35" s="34"/>
      <c r="K35" s="30"/>
      <c r="L35" s="50"/>
      <c r="O35" s="7"/>
      <c r="P35" s="7"/>
      <c r="R35" s="34"/>
      <c r="U35" s="30"/>
      <c r="V35" s="50"/>
      <c r="W35" s="36"/>
    </row>
    <row r="36" customFormat="false" ht="14.1" hidden="false" customHeight="true" outlineLevel="0" collapsed="false">
      <c r="E36" s="7"/>
      <c r="F36" s="7"/>
      <c r="H36" s="34"/>
      <c r="K36" s="30"/>
      <c r="L36" s="50"/>
      <c r="O36" s="7"/>
      <c r="P36" s="7"/>
      <c r="R36" s="34"/>
      <c r="U36" s="30"/>
      <c r="V36" s="50"/>
      <c r="W36" s="36"/>
    </row>
    <row r="37" customFormat="false" ht="14.1" hidden="false" customHeight="true" outlineLevel="0" collapsed="false">
      <c r="A37" s="20" t="s">
        <v>354</v>
      </c>
      <c r="B37" s="57"/>
      <c r="C37" s="57"/>
      <c r="D37" s="58"/>
      <c r="E37" s="59"/>
      <c r="F37" s="7"/>
      <c r="H37" s="34"/>
      <c r="K37" s="30"/>
      <c r="L37" s="50"/>
      <c r="O37" s="7"/>
      <c r="P37" s="7"/>
      <c r="R37" s="34"/>
      <c r="U37" s="30"/>
      <c r="V37" s="50"/>
      <c r="W37" s="36"/>
    </row>
    <row r="38" customFormat="false" ht="14.1" hidden="false" customHeight="true" outlineLevel="0" collapsed="false">
      <c r="B38" s="0" t="s">
        <v>319</v>
      </c>
      <c r="E38" s="7" t="n">
        <v>11</v>
      </c>
      <c r="F38" s="7" t="n">
        <v>3.8</v>
      </c>
      <c r="H38" s="34" t="n">
        <v>48.6</v>
      </c>
      <c r="K38" s="30" t="n">
        <f aca="false">Calculations!$R$48</f>
        <v>0</v>
      </c>
      <c r="L38" s="50" t="n">
        <f aca="false">E38*F38</f>
        <v>41.8</v>
      </c>
      <c r="O38" s="7" t="n">
        <v>11</v>
      </c>
      <c r="P38" s="7" t="n">
        <v>3.6</v>
      </c>
      <c r="R38" s="34" t="n">
        <v>46.2</v>
      </c>
      <c r="U38" s="30" t="n">
        <f aca="false">Calculations!$R$48</f>
        <v>0</v>
      </c>
      <c r="V38" s="50" t="n">
        <f aca="false">O38*P38</f>
        <v>39.6</v>
      </c>
      <c r="W38" s="36"/>
      <c r="X38" s="0" t="str">
        <f aca="false">B38</f>
        <v>Miller-1977a_750mg</v>
      </c>
    </row>
    <row r="39" customFormat="false" ht="14.1" hidden="false" customHeight="true" outlineLevel="0" collapsed="false">
      <c r="B39" s="0" t="s">
        <v>320</v>
      </c>
      <c r="E39" s="7" t="n">
        <v>20</v>
      </c>
      <c r="F39" s="7" t="n">
        <v>5.8</v>
      </c>
      <c r="H39" s="34" t="n">
        <v>14.6</v>
      </c>
      <c r="K39" s="30" t="n">
        <f aca="false">Calculations!$R$49</f>
        <v>0</v>
      </c>
      <c r="L39" s="50" t="n">
        <f aca="false">E39*F39</f>
        <v>116</v>
      </c>
      <c r="O39" s="7" t="n">
        <v>20</v>
      </c>
      <c r="P39" s="7" t="n">
        <v>6.1</v>
      </c>
      <c r="R39" s="34" t="n">
        <v>19</v>
      </c>
      <c r="U39" s="30" t="n">
        <f aca="false">Calculations!$R$49</f>
        <v>0</v>
      </c>
      <c r="V39" s="50" t="n">
        <f aca="false">O39*P39</f>
        <v>122</v>
      </c>
      <c r="W39" s="36"/>
      <c r="X39" s="0" t="str">
        <f aca="false">B39</f>
        <v>Miller-1977b_500mg</v>
      </c>
    </row>
    <row r="40" customFormat="false" ht="14.1" hidden="false" customHeight="true" outlineLevel="0" collapsed="false">
      <c r="B40" s="0" t="s">
        <v>321</v>
      </c>
      <c r="E40" s="7" t="n">
        <v>70</v>
      </c>
      <c r="F40" s="7" t="n">
        <v>2.29</v>
      </c>
      <c r="H40" s="44" t="n">
        <v>4.52</v>
      </c>
      <c r="I40" s="44" t="n">
        <v>0.5</v>
      </c>
      <c r="J40" s="44"/>
      <c r="K40" s="30" t="n">
        <f aca="false">SQRT(L40)*I40</f>
        <v>6.33048181420656</v>
      </c>
      <c r="L40" s="49" t="n">
        <f aca="false">E40*F40</f>
        <v>160.3</v>
      </c>
      <c r="O40" s="7" t="n">
        <v>58</v>
      </c>
      <c r="P40" s="7" t="n">
        <v>2.17</v>
      </c>
      <c r="R40" s="44" t="n">
        <v>5.94</v>
      </c>
      <c r="S40" s="44" t="n">
        <v>0.56</v>
      </c>
      <c r="T40" s="44"/>
      <c r="U40" s="30" t="n">
        <f aca="false">SQRT(V40)*S40</f>
        <v>6.28249122562061</v>
      </c>
      <c r="V40" s="49" t="n">
        <f aca="false">O40*P40</f>
        <v>125.86</v>
      </c>
      <c r="W40" s="36"/>
      <c r="X40" s="0" t="str">
        <f aca="false">B40</f>
        <v>Wilson_1973 Girls</v>
      </c>
    </row>
    <row r="41" customFormat="false" ht="14.1" hidden="false" customHeight="true" outlineLevel="0" collapsed="false">
      <c r="B41" s="0" t="s">
        <v>322</v>
      </c>
      <c r="E41" s="7" t="n">
        <v>88</v>
      </c>
      <c r="F41" s="7" t="n">
        <v>2.33</v>
      </c>
      <c r="H41" s="44" t="n">
        <v>4.2</v>
      </c>
      <c r="I41" s="44" t="n">
        <v>0.31</v>
      </c>
      <c r="J41" s="44"/>
      <c r="K41" s="30" t="n">
        <f aca="false">SQRT(L41)*I41</f>
        <v>4.43895753527785</v>
      </c>
      <c r="L41" s="49" t="n">
        <f aca="false">E41*F41</f>
        <v>205.04</v>
      </c>
      <c r="O41" s="7" t="n">
        <v>86</v>
      </c>
      <c r="P41" s="7" t="n">
        <v>2.18</v>
      </c>
      <c r="R41" s="44" t="n">
        <v>3.8</v>
      </c>
      <c r="S41" s="44" t="n">
        <v>0.33</v>
      </c>
      <c r="T41" s="44"/>
      <c r="U41" s="30" t="n">
        <f aca="false">SQRT(V41)*S41</f>
        <v>4.51847009506536</v>
      </c>
      <c r="V41" s="49" t="n">
        <f aca="false">O41*P41</f>
        <v>187.48</v>
      </c>
      <c r="W41" s="36"/>
      <c r="X41" s="0" t="str">
        <f aca="false">B41</f>
        <v>Wilson_1973a Boys</v>
      </c>
    </row>
    <row r="42" customFormat="false" ht="14.1" hidden="false" customHeight="true" outlineLevel="0" collapsed="false">
      <c r="H42" s="30"/>
      <c r="K42" s="30"/>
      <c r="R42" s="30"/>
      <c r="U42" s="30"/>
      <c r="V42" s="39"/>
      <c r="W42" s="36"/>
    </row>
    <row r="43" customFormat="false" ht="14.1" hidden="false" customHeight="true" outlineLevel="0" collapsed="false">
      <c r="H43" s="30"/>
      <c r="K43" s="30"/>
      <c r="R43" s="30"/>
      <c r="U43" s="30"/>
      <c r="V43" s="39"/>
      <c r="W43" s="36"/>
    </row>
    <row r="47" customFormat="false" ht="14.1" hidden="false" customHeight="true" outlineLevel="0" collapsed="false">
      <c r="B47" s="5" t="s">
        <v>355</v>
      </c>
      <c r="C47" s="5"/>
      <c r="H47" s="30"/>
      <c r="M47" s="12"/>
      <c r="V47" s="39"/>
      <c r="X47" s="5" t="str">
        <f aca="false">B47</f>
        <v>Treatment: severity</v>
      </c>
    </row>
    <row r="48" customFormat="false" ht="14.1" hidden="false" customHeight="true" outlineLevel="0" collapsed="false">
      <c r="H48" s="0"/>
      <c r="M48" s="12"/>
      <c r="V48" s="39"/>
    </row>
    <row r="49" customFormat="false" ht="14.1" hidden="false" customHeight="true" outlineLevel="0" collapsed="false">
      <c r="D49" s="45" t="s">
        <v>192</v>
      </c>
      <c r="E49" s="7"/>
      <c r="F49" s="7"/>
      <c r="G49" s="7"/>
      <c r="H49" s="44" t="s">
        <v>356</v>
      </c>
      <c r="I49" s="46"/>
      <c r="J49" s="44"/>
      <c r="K49" s="7"/>
      <c r="L49" s="7"/>
      <c r="M49" s="12"/>
      <c r="N49" s="45" t="s">
        <v>193</v>
      </c>
      <c r="O49" s="7"/>
      <c r="P49" s="7"/>
      <c r="Q49" s="7"/>
      <c r="R49" s="44" t="s">
        <v>356</v>
      </c>
      <c r="S49" s="46"/>
      <c r="T49" s="44"/>
      <c r="U49" s="7"/>
      <c r="V49" s="7"/>
    </row>
    <row r="50" customFormat="false" ht="14.1" hidden="false" customHeight="true" outlineLevel="0" collapsed="false">
      <c r="D50" s="7"/>
      <c r="E50" s="7"/>
      <c r="F50" s="7"/>
      <c r="G50" s="7"/>
      <c r="H50" s="7" t="s">
        <v>357</v>
      </c>
      <c r="I50" s="46"/>
      <c r="J50" s="44"/>
      <c r="K50" s="7"/>
      <c r="L50" s="7"/>
      <c r="M50" s="12"/>
      <c r="N50" s="7"/>
      <c r="O50" s="7"/>
      <c r="P50" s="7"/>
      <c r="Q50" s="7"/>
      <c r="R50" s="7" t="s">
        <v>357</v>
      </c>
      <c r="S50" s="46"/>
      <c r="T50" s="44"/>
      <c r="U50" s="7"/>
      <c r="V50" s="7"/>
    </row>
    <row r="51" customFormat="false" ht="14.1" hidden="false" customHeight="true" outlineLevel="0" collapsed="false">
      <c r="D51" s="24" t="s">
        <v>151</v>
      </c>
      <c r="E51" s="7"/>
      <c r="F51" s="7" t="s">
        <v>282</v>
      </c>
      <c r="G51" s="5" t="s">
        <v>283</v>
      </c>
      <c r="H51" s="7" t="s">
        <v>358</v>
      </c>
      <c r="I51" s="46"/>
      <c r="J51" s="44"/>
      <c r="K51" s="44"/>
      <c r="L51" s="7" t="s">
        <v>285</v>
      </c>
      <c r="N51" s="24" t="s">
        <v>151</v>
      </c>
      <c r="O51" s="7"/>
      <c r="P51" s="7" t="s">
        <v>282</v>
      </c>
      <c r="Q51" s="5" t="s">
        <v>283</v>
      </c>
      <c r="R51" s="7" t="s">
        <v>358</v>
      </c>
      <c r="S51" s="46"/>
      <c r="T51" s="44"/>
      <c r="U51" s="44"/>
      <c r="V51" s="7" t="s">
        <v>285</v>
      </c>
      <c r="W51" s="36"/>
    </row>
    <row r="52" customFormat="false" ht="14.1" hidden="false" customHeight="true" outlineLevel="0" collapsed="false">
      <c r="D52" s="24" t="s">
        <v>288</v>
      </c>
      <c r="E52" s="7" t="s">
        <v>289</v>
      </c>
      <c r="F52" s="7" t="s">
        <v>290</v>
      </c>
      <c r="G52" s="5" t="s">
        <v>290</v>
      </c>
      <c r="H52" s="44" t="s">
        <v>288</v>
      </c>
      <c r="I52" s="46" t="s">
        <v>291</v>
      </c>
      <c r="J52" s="44" t="s">
        <v>359</v>
      </c>
      <c r="K52" s="7" t="s">
        <v>292</v>
      </c>
      <c r="L52" s="7" t="s">
        <v>202</v>
      </c>
      <c r="N52" s="24" t="s">
        <v>288</v>
      </c>
      <c r="O52" s="7" t="s">
        <v>289</v>
      </c>
      <c r="P52" s="7" t="s">
        <v>290</v>
      </c>
      <c r="Q52" s="5" t="s">
        <v>290</v>
      </c>
      <c r="R52" s="44" t="s">
        <v>288</v>
      </c>
      <c r="S52" s="46" t="s">
        <v>291</v>
      </c>
      <c r="T52" s="44"/>
      <c r="U52" s="7" t="s">
        <v>292</v>
      </c>
      <c r="V52" s="7" t="s">
        <v>202</v>
      </c>
      <c r="W52" s="46" t="s">
        <v>360</v>
      </c>
    </row>
    <row r="53" customFormat="false" ht="14.1" hidden="false" customHeight="true" outlineLevel="0" collapsed="false">
      <c r="D53" s="24"/>
      <c r="E53" s="7"/>
      <c r="F53" s="7"/>
      <c r="G53" s="5"/>
      <c r="H53" s="44"/>
      <c r="I53" s="46"/>
      <c r="J53" s="44"/>
      <c r="K53" s="7"/>
      <c r="L53" s="7"/>
      <c r="N53" s="24"/>
      <c r="O53" s="7"/>
      <c r="P53" s="7"/>
      <c r="Q53" s="5"/>
      <c r="R53" s="44"/>
      <c r="S53" s="46"/>
      <c r="T53" s="44"/>
      <c r="U53" s="7"/>
      <c r="V53" s="7"/>
      <c r="W53" s="46"/>
      <c r="AC53" s="1"/>
    </row>
    <row r="54" customFormat="false" ht="14.1" hidden="false" customHeight="true" outlineLevel="0" collapsed="false">
      <c r="D54" s="7"/>
      <c r="E54" s="7"/>
      <c r="F54" s="7"/>
      <c r="G54" s="5"/>
      <c r="H54" s="54" t="s">
        <v>361</v>
      </c>
      <c r="I54" s="54"/>
      <c r="R54" s="54" t="s">
        <v>361</v>
      </c>
      <c r="S54" s="54"/>
      <c r="W54" s="53"/>
    </row>
    <row r="55" customFormat="false" ht="14.1" hidden="false" customHeight="true" outlineLevel="0" collapsed="false">
      <c r="B55" s="0" t="s">
        <v>324</v>
      </c>
      <c r="C55" s="5" t="s">
        <v>347</v>
      </c>
      <c r="D55" s="7" t="n">
        <v>458</v>
      </c>
      <c r="E55" s="7"/>
      <c r="H55" s="30" t="n">
        <f aca="false">D55/L55</f>
        <v>1.09832134292566</v>
      </c>
      <c r="J55" s="30" t="n">
        <f aca="false">$J$59/$G$59</f>
        <v>1.49931515602204</v>
      </c>
      <c r="K55" s="30" t="n">
        <f aca="false">H55*J55</f>
        <v>1.64672983563092</v>
      </c>
      <c r="L55" s="7" t="n">
        <v>417</v>
      </c>
      <c r="N55" s="24" t="n">
        <v>502</v>
      </c>
      <c r="O55" s="7"/>
      <c r="R55" s="30" t="n">
        <f aca="false">N55/V55</f>
        <v>1.1487414187643</v>
      </c>
      <c r="T55" s="30" t="n">
        <f aca="false">$J$59/$G$59</f>
        <v>1.49931515602204</v>
      </c>
      <c r="U55" s="30" t="n">
        <f aca="false">R55*T55</f>
        <v>1.72232541950357</v>
      </c>
      <c r="V55" s="24" t="n">
        <v>437</v>
      </c>
      <c r="W55" s="53" t="n">
        <v>202</v>
      </c>
      <c r="X55" s="0" t="str">
        <f aca="false">B55</f>
        <v>Anderson-1974d #7 (4g)</v>
      </c>
      <c r="Z55" s="32" t="s">
        <v>3</v>
      </c>
      <c r="AC55" s="0" t="s">
        <v>193</v>
      </c>
    </row>
    <row r="56" customFormat="false" ht="14.1" hidden="false" customHeight="true" outlineLevel="0" collapsed="false">
      <c r="B56" s="0" t="s">
        <v>325</v>
      </c>
      <c r="C56" s="5" t="s">
        <v>347</v>
      </c>
      <c r="D56" s="7" t="n">
        <v>506</v>
      </c>
      <c r="E56" s="7"/>
      <c r="H56" s="30" t="n">
        <f aca="false">D56/L56</f>
        <v>1.04761904761905</v>
      </c>
      <c r="J56" s="30" t="n">
        <f aca="false">$J$59/$G$59</f>
        <v>1.49931515602204</v>
      </c>
      <c r="K56" s="30" t="n">
        <f aca="false">H56*J56</f>
        <v>1.57071111583261</v>
      </c>
      <c r="L56" s="7" t="n">
        <v>483</v>
      </c>
      <c r="R56" s="30"/>
      <c r="U56" s="30"/>
      <c r="V56" s="39"/>
      <c r="W56" s="53" t="n">
        <v>235</v>
      </c>
      <c r="Z56" s="1" t="s">
        <v>211</v>
      </c>
      <c r="AA56" s="0" t="s">
        <v>285</v>
      </c>
      <c r="AC56" s="5" t="n">
        <v>437</v>
      </c>
      <c r="AD56" s="0" t="s">
        <v>212</v>
      </c>
    </row>
    <row r="57" customFormat="false" ht="14.1" hidden="false" customHeight="true" outlineLevel="0" collapsed="false">
      <c r="C57" s="5"/>
      <c r="D57" s="24"/>
      <c r="E57" s="7"/>
      <c r="F57" s="7"/>
      <c r="G57" s="5"/>
      <c r="H57" s="44"/>
      <c r="I57" s="46"/>
      <c r="J57" s="44"/>
      <c r="K57" s="7"/>
      <c r="L57" s="7"/>
      <c r="N57" s="24"/>
      <c r="O57" s="7"/>
      <c r="P57" s="7"/>
      <c r="Q57" s="5"/>
      <c r="R57" s="44"/>
      <c r="S57" s="46"/>
      <c r="T57" s="44"/>
      <c r="U57" s="7"/>
      <c r="V57" s="7"/>
      <c r="W57" s="46"/>
      <c r="Z57" s="1" t="n">
        <v>7</v>
      </c>
      <c r="AA57" s="5" t="n">
        <v>417</v>
      </c>
      <c r="AB57" s="0" t="n">
        <f aca="false">AA57/AA$60</f>
        <v>0.463333333333333</v>
      </c>
      <c r="AC57" s="0" t="n">
        <f aca="false">AB57*AC$56</f>
        <v>202.476666666667</v>
      </c>
      <c r="AD57" s="0" t="n">
        <v>202</v>
      </c>
    </row>
    <row r="58" customFormat="false" ht="14.1" hidden="false" customHeight="true" outlineLevel="0" collapsed="false">
      <c r="B58" s="0" t="s">
        <v>326</v>
      </c>
      <c r="C58" s="5" t="s">
        <v>347</v>
      </c>
      <c r="E58" s="7" t="n">
        <v>150</v>
      </c>
      <c r="F58" s="46" t="n">
        <v>1.42</v>
      </c>
      <c r="G58" s="52" t="n">
        <v>1.187</v>
      </c>
      <c r="H58" s="30" t="n">
        <f aca="false">G58/F58</f>
        <v>0.835915492957747</v>
      </c>
      <c r="I58" s="36" t="n">
        <v>0.142</v>
      </c>
      <c r="J58" s="30" t="n">
        <f aca="false">I58*SQRT(E58)</f>
        <v>1.73913771737606</v>
      </c>
      <c r="K58" s="30" t="n">
        <f aca="false">J58/F58</f>
        <v>1.22474487139159</v>
      </c>
      <c r="L58" s="49" t="n">
        <f aca="false">E58*F58</f>
        <v>213</v>
      </c>
      <c r="N58" s="53" t="n">
        <f aca="false">O58*P58</f>
        <v>213.014</v>
      </c>
      <c r="O58" s="7" t="n">
        <v>146</v>
      </c>
      <c r="P58" s="46" t="n">
        <v>1.459</v>
      </c>
      <c r="Q58" s="46" t="n">
        <v>1.61</v>
      </c>
      <c r="R58" s="30" t="n">
        <f aca="false">Q58/P58</f>
        <v>1.10349554489376</v>
      </c>
      <c r="S58" s="36" t="n">
        <v>0.204</v>
      </c>
      <c r="T58" s="30" t="n">
        <f aca="false">S58*SQRT(O58)</f>
        <v>2.46494137861329</v>
      </c>
      <c r="U58" s="30" t="n">
        <f aca="false">T58/P58</f>
        <v>1.68947318616401</v>
      </c>
      <c r="V58" s="49" t="n">
        <f aca="false">O58*P58</f>
        <v>213.014</v>
      </c>
      <c r="W58" s="53" t="n">
        <v>107</v>
      </c>
      <c r="X58" s="0" t="str">
        <f aca="false">B58</f>
        <v>Anderson 1975 tablet</v>
      </c>
      <c r="Z58" s="1" t="n">
        <v>8</v>
      </c>
      <c r="AA58" s="5" t="n">
        <v>483</v>
      </c>
      <c r="AB58" s="0" t="n">
        <f aca="false">AA58/AA$60</f>
        <v>0.536666666666667</v>
      </c>
      <c r="AC58" s="0" t="n">
        <f aca="false">AB58*AC$56</f>
        <v>234.523333333333</v>
      </c>
      <c r="AD58" s="0" t="n">
        <v>235</v>
      </c>
    </row>
    <row r="59" customFormat="false" ht="14.1" hidden="false" customHeight="true" outlineLevel="0" collapsed="false">
      <c r="B59" s="0" t="s">
        <v>362</v>
      </c>
      <c r="C59" s="5" t="s">
        <v>347</v>
      </c>
      <c r="E59" s="7" t="n">
        <v>152</v>
      </c>
      <c r="F59" s="46" t="n">
        <v>1.375</v>
      </c>
      <c r="G59" s="52" t="n">
        <v>1.217</v>
      </c>
      <c r="H59" s="30" t="n">
        <f aca="false">G59/F59</f>
        <v>0.885090909090909</v>
      </c>
      <c r="I59" s="36" t="n">
        <v>0.148</v>
      </c>
      <c r="J59" s="30" t="n">
        <f aca="false">I59*SQRT(E59)</f>
        <v>1.82466654487882</v>
      </c>
      <c r="K59" s="30" t="n">
        <f aca="false">J59/F59</f>
        <v>1.32703021445732</v>
      </c>
      <c r="L59" s="49" t="n">
        <f aca="false">E59*F59</f>
        <v>209</v>
      </c>
      <c r="O59" s="7"/>
      <c r="P59" s="7"/>
      <c r="Q59" s="7"/>
      <c r="W59" s="53" t="n">
        <v>106</v>
      </c>
      <c r="X59" s="0" t="str">
        <f aca="false">B59</f>
        <v>Anderson 1975a capsule</v>
      </c>
      <c r="Z59" s="1"/>
      <c r="AA59" s="0" t="s">
        <v>329</v>
      </c>
      <c r="AD59" s="0" t="s">
        <v>329</v>
      </c>
      <c r="AH59" s="22"/>
    </row>
    <row r="60" customFormat="false" ht="14.1" hidden="false" customHeight="true" outlineLevel="0" collapsed="false">
      <c r="D60" s="0"/>
      <c r="E60" s="0"/>
      <c r="F60" s="0"/>
      <c r="H60" s="0"/>
      <c r="I60" s="0"/>
      <c r="J60" s="0"/>
      <c r="K60" s="0"/>
      <c r="L60" s="0"/>
      <c r="N60" s="0"/>
      <c r="O60" s="0"/>
      <c r="P60" s="0"/>
      <c r="Q60" s="0"/>
      <c r="R60" s="0"/>
      <c r="S60" s="0"/>
      <c r="T60" s="0"/>
      <c r="U60" s="0"/>
      <c r="V60" s="0"/>
      <c r="W60" s="0"/>
      <c r="Z60" s="1"/>
      <c r="AA60" s="0" t="n">
        <f aca="false">SUM(AA57:AA58)</f>
        <v>900</v>
      </c>
      <c r="AD60" s="0" t="n">
        <f aca="false">SUM(AD57:AD58)</f>
        <v>437</v>
      </c>
      <c r="AH60" s="22"/>
    </row>
    <row r="61" customFormat="false" ht="14.1" hidden="false" customHeight="true" outlineLevel="0" collapsed="false">
      <c r="B61" s="0" t="s">
        <v>157</v>
      </c>
      <c r="C61" s="7" t="s">
        <v>363</v>
      </c>
      <c r="D61" s="0"/>
      <c r="H61" s="44" t="n">
        <f aca="false">Calculations!AK21</f>
        <v>0.426666666666667</v>
      </c>
      <c r="I61" s="46"/>
      <c r="K61" s="30" t="n">
        <f aca="false">Calculations!AL21</f>
        <v>0.777071527055856</v>
      </c>
      <c r="L61" s="7" t="n">
        <f aca="false">Calculations!AN21</f>
        <v>30</v>
      </c>
      <c r="R61" s="44" t="n">
        <f aca="false">Calculations!AK55</f>
        <v>0.672222222222222</v>
      </c>
      <c r="S61" s="46"/>
      <c r="T61" s="44"/>
      <c r="U61" s="30" t="n">
        <f aca="false">Calculations!AL55</f>
        <v>1.07614509312801</v>
      </c>
      <c r="V61" s="24" t="n">
        <f aca="false">Calculations!AN55</f>
        <v>36</v>
      </c>
      <c r="W61" s="36"/>
      <c r="X61" s="0" t="str">
        <f aca="false">B61</f>
        <v>Craig 1977</v>
      </c>
      <c r="Z61" s="1"/>
    </row>
    <row r="62" customFormat="false" ht="14.1" hidden="false" customHeight="true" outlineLevel="0" collapsed="false">
      <c r="C62" s="7"/>
      <c r="D62" s="0"/>
      <c r="H62" s="44"/>
      <c r="I62" s="46"/>
      <c r="K62" s="30"/>
      <c r="L62" s="7"/>
      <c r="R62" s="44"/>
      <c r="S62" s="46"/>
      <c r="T62" s="44"/>
      <c r="U62" s="30"/>
      <c r="V62" s="24"/>
      <c r="W62" s="36"/>
    </row>
    <row r="63" customFormat="false" ht="14.1" hidden="false" customHeight="true" outlineLevel="0" collapsed="false">
      <c r="B63" s="0" t="s">
        <v>334</v>
      </c>
      <c r="C63" s="7" t="s">
        <v>363</v>
      </c>
      <c r="D63" s="0"/>
      <c r="H63" s="44" t="n">
        <v>0.46</v>
      </c>
      <c r="K63" s="44" t="n">
        <v>1.22</v>
      </c>
      <c r="L63" s="50" t="n">
        <f aca="false">AB63+2*AD63</f>
        <v>147</v>
      </c>
      <c r="R63" s="44" t="n">
        <v>0.46</v>
      </c>
      <c r="U63" s="44" t="n">
        <v>1.19</v>
      </c>
      <c r="V63" s="53" t="n">
        <f aca="false">AG63+2*AI63</f>
        <v>184</v>
      </c>
      <c r="W63" s="36"/>
      <c r="X63" s="0" t="str">
        <f aca="false">B63</f>
        <v>Tyrrell 1977 (Males)</v>
      </c>
      <c r="Z63" s="0" t="s">
        <v>335</v>
      </c>
      <c r="AB63" s="7" t="n">
        <v>101</v>
      </c>
      <c r="AC63" s="0" t="s">
        <v>336</v>
      </c>
      <c r="AD63" s="7" t="n">
        <v>23</v>
      </c>
      <c r="AE63" s="0" t="s">
        <v>337</v>
      </c>
      <c r="AG63" s="7" t="n">
        <v>98</v>
      </c>
      <c r="AH63" s="0" t="s">
        <v>338</v>
      </c>
      <c r="AI63" s="7" t="n">
        <v>43</v>
      </c>
    </row>
    <row r="64" customFormat="false" ht="14.1" hidden="false" customHeight="true" outlineLevel="0" collapsed="false">
      <c r="B64" s="0" t="s">
        <v>339</v>
      </c>
      <c r="C64" s="7" t="s">
        <v>363</v>
      </c>
      <c r="D64" s="0"/>
      <c r="H64" s="44" t="n">
        <v>1.03</v>
      </c>
      <c r="K64" s="44" t="n">
        <v>2.19</v>
      </c>
      <c r="L64" s="50" t="n">
        <f aca="false">AB64+2*AD64</f>
        <v>127</v>
      </c>
      <c r="R64" s="44" t="n">
        <v>1.07</v>
      </c>
      <c r="U64" s="44" t="n">
        <v>2.72</v>
      </c>
      <c r="V64" s="53" t="n">
        <f aca="false">AG64+2*AI64</f>
        <v>145</v>
      </c>
      <c r="W64" s="36"/>
      <c r="X64" s="0" t="str">
        <f aca="false">B64</f>
        <v>Tyrrell 1977a (Females)</v>
      </c>
      <c r="Z64" s="0" t="s">
        <v>340</v>
      </c>
      <c r="AB64" s="7" t="n">
        <v>75</v>
      </c>
      <c r="AC64" s="0" t="s">
        <v>336</v>
      </c>
      <c r="AD64" s="7" t="n">
        <v>26</v>
      </c>
      <c r="AE64" s="0" t="s">
        <v>337</v>
      </c>
      <c r="AG64" s="7" t="n">
        <v>87</v>
      </c>
      <c r="AH64" s="0" t="s">
        <v>338</v>
      </c>
      <c r="AI64" s="7" t="n">
        <v>29</v>
      </c>
    </row>
    <row r="66" customFormat="false" ht="14.1" hidden="false" customHeight="true" outlineLevel="0" collapsed="false">
      <c r="C66" s="56"/>
      <c r="D66" s="0"/>
      <c r="E66" s="0"/>
      <c r="F66" s="0"/>
      <c r="H66" s="5" t="s">
        <v>350</v>
      </c>
      <c r="I66" s="0"/>
      <c r="J66" s="0"/>
      <c r="K66" s="0"/>
      <c r="L66" s="0"/>
      <c r="N66" s="0"/>
      <c r="O66" s="0"/>
      <c r="P66" s="0"/>
      <c r="Q66" s="0"/>
      <c r="R66" s="0"/>
      <c r="S66" s="0"/>
      <c r="T66" s="0"/>
      <c r="U66" s="0"/>
      <c r="V66" s="0"/>
      <c r="W66" s="0"/>
    </row>
    <row r="67" customFormat="false" ht="14.1" hidden="false" customHeight="true" outlineLevel="0" collapsed="false">
      <c r="C67" s="56"/>
      <c r="D67" s="0"/>
      <c r="E67" s="0"/>
      <c r="F67" s="0"/>
      <c r="H67" s="0"/>
      <c r="I67" s="0"/>
      <c r="J67" s="0"/>
      <c r="K67" s="0"/>
      <c r="L67" s="0"/>
      <c r="N67" s="0"/>
      <c r="O67" s="0"/>
      <c r="P67" s="0"/>
      <c r="Q67" s="0"/>
      <c r="R67" s="0"/>
      <c r="S67" s="0"/>
      <c r="T67" s="0"/>
      <c r="U67" s="0"/>
      <c r="V67" s="0"/>
      <c r="W67" s="0"/>
    </row>
    <row r="68" customFormat="false" ht="14.1" hidden="false" customHeight="true" outlineLevel="0" collapsed="false">
      <c r="B68" s="0" t="s">
        <v>328</v>
      </c>
      <c r="C68" s="7" t="s">
        <v>350</v>
      </c>
      <c r="D68" s="0"/>
      <c r="E68" s="7"/>
      <c r="H68" s="44" t="n">
        <v>22.1</v>
      </c>
      <c r="K68" s="30" t="n">
        <f aca="false">'Calculations 2'!I104</f>
        <v>13.8162426895837</v>
      </c>
      <c r="L68" s="7" t="n">
        <v>47</v>
      </c>
      <c r="R68" s="44" t="n">
        <v>20.2</v>
      </c>
      <c r="U68" s="30" t="n">
        <f aca="false">'Calculations 2'!I103</f>
        <v>12.3993763362395</v>
      </c>
      <c r="V68" s="24" t="n">
        <v>42</v>
      </c>
      <c r="W68" s="39" t="n">
        <f aca="false">V$68*L68/(L$68+L$69)</f>
        <v>20.3505154639175</v>
      </c>
      <c r="X68" s="0" t="str">
        <f aca="false">B68</f>
        <v>Audera 2001 (1 g/day)</v>
      </c>
    </row>
    <row r="69" customFormat="false" ht="14.1" hidden="false" customHeight="true" outlineLevel="0" collapsed="false">
      <c r="B69" s="0" t="s">
        <v>330</v>
      </c>
      <c r="C69" s="7" t="s">
        <v>350</v>
      </c>
      <c r="D69" s="0"/>
      <c r="E69" s="7"/>
      <c r="H69" s="44" t="n">
        <v>23</v>
      </c>
      <c r="K69" s="30" t="n">
        <f aca="false">'Calculations 2'!I105</f>
        <v>13.1680599557699</v>
      </c>
      <c r="L69" s="7" t="n">
        <v>50</v>
      </c>
      <c r="R69" s="30"/>
      <c r="U69" s="30"/>
      <c r="V69" s="39"/>
      <c r="W69" s="39" t="n">
        <f aca="false">V$68*L69/(L$68+L$69)</f>
        <v>21.6494845360825</v>
      </c>
      <c r="X69" s="0" t="str">
        <f aca="false">B69</f>
        <v>Audera 2001a (3 g/day)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65536"/>
  <sheetViews>
    <sheetView windowProtection="false" showFormulas="false" showGridLines="true" showRowColHeaders="true" showZeros="true" rightToLeft="false" tabSelected="true" showOutlineSymbols="true" defaultGridColor="true" view="normal" topLeftCell="AF11" colorId="64" zoomScale="120" zoomScaleNormal="120" zoomScalePageLayoutView="100" workbookViewId="0">
      <selection pane="topLeft" activeCell="AK31" activeCellId="0" sqref="AK31"/>
    </sheetView>
  </sheetViews>
  <sheetFormatPr defaultRowHeight="14.1"/>
  <cols>
    <col collapsed="false" hidden="false" max="4" min="1" style="1" width="11.5204081632653"/>
    <col collapsed="false" hidden="false" max="5" min="5" style="1" width="15.6071428571429"/>
    <col collapsed="false" hidden="false" max="12" min="6" style="1" width="11.5204081632653"/>
    <col collapsed="false" hidden="false" max="13" min="13" style="0" width="20.0663265306122"/>
    <col collapsed="false" hidden="false" max="19" min="14" style="1" width="11.5204081632653"/>
    <col collapsed="false" hidden="false" max="34" min="20" style="0" width="11.5204081632653"/>
    <col collapsed="false" hidden="false" max="38" min="35" style="1" width="11.5204081632653"/>
    <col collapsed="false" hidden="false" max="1025" min="39" style="0" width="11.5204081632653"/>
  </cols>
  <sheetData>
    <row r="1" customFormat="false" ht="21.9" hidden="false" customHeight="true" outlineLevel="0" collapsed="false">
      <c r="A1" s="45" t="s">
        <v>364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U1" s="7"/>
      <c r="V1" s="7"/>
      <c r="W1" s="7"/>
      <c r="X1" s="7"/>
      <c r="Y1" s="7"/>
      <c r="AF1" s="7"/>
      <c r="AG1" s="7"/>
      <c r="AH1" s="7"/>
      <c r="AI1" s="7"/>
    </row>
    <row r="2" customFormat="false" ht="21.9" hidden="false" customHeight="true" outlineLevel="0" collapsed="false">
      <c r="A2" s="45"/>
      <c r="B2" s="45" t="s">
        <v>365</v>
      </c>
      <c r="C2" s="7"/>
      <c r="D2" s="7"/>
      <c r="E2" s="7"/>
      <c r="F2" s="7"/>
      <c r="G2" s="7"/>
      <c r="H2" s="7"/>
      <c r="I2" s="7"/>
      <c r="J2" s="7"/>
      <c r="K2" s="7"/>
      <c r="L2" s="7"/>
      <c r="U2" s="7"/>
      <c r="V2" s="7"/>
      <c r="W2" s="7"/>
      <c r="X2" s="7"/>
      <c r="Y2" s="7"/>
      <c r="AF2" s="7"/>
      <c r="AG2" s="7"/>
      <c r="AH2" s="7"/>
      <c r="AI2" s="7"/>
    </row>
    <row r="3" customFormat="false" ht="21.9" hidden="false" customHeight="true" outlineLevel="0" collapsed="false">
      <c r="A3" s="45"/>
      <c r="B3" s="45" t="s">
        <v>366</v>
      </c>
      <c r="C3" s="7"/>
      <c r="D3" s="7"/>
      <c r="E3" s="7"/>
      <c r="F3" s="7"/>
      <c r="G3" s="7"/>
      <c r="H3" s="7"/>
      <c r="I3" s="7"/>
      <c r="J3" s="7"/>
      <c r="K3" s="7"/>
      <c r="L3" s="7"/>
      <c r="U3" s="7"/>
      <c r="V3" s="7"/>
      <c r="W3" s="7"/>
      <c r="X3" s="7"/>
      <c r="Y3" s="7"/>
      <c r="AF3" s="7"/>
      <c r="AG3" s="7"/>
      <c r="AH3" s="7"/>
      <c r="AI3" s="7"/>
    </row>
    <row r="4" customFormat="false" ht="21.9" hidden="false" customHeight="true" outlineLevel="0" collapsed="false">
      <c r="A4" s="45"/>
      <c r="B4" s="45" t="s">
        <v>367</v>
      </c>
      <c r="C4" s="7"/>
      <c r="D4" s="7"/>
      <c r="E4" s="7"/>
      <c r="F4" s="7"/>
      <c r="G4" s="7"/>
      <c r="H4" s="7"/>
      <c r="I4" s="7"/>
      <c r="J4" s="7"/>
      <c r="K4" s="7"/>
      <c r="L4" s="7"/>
      <c r="U4" s="7"/>
      <c r="V4" s="7"/>
      <c r="W4" s="7"/>
      <c r="X4" s="7"/>
      <c r="Y4" s="7"/>
      <c r="AF4" s="7"/>
      <c r="AG4" s="7"/>
      <c r="AH4" s="7"/>
      <c r="AI4" s="7"/>
    </row>
    <row r="5" customFormat="false" ht="12.8" hidden="false" customHeight="tru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U5" s="7"/>
      <c r="V5" s="7"/>
      <c r="W5" s="7"/>
      <c r="X5" s="7"/>
      <c r="Y5" s="7"/>
      <c r="AF5" s="7"/>
      <c r="AG5" s="7"/>
      <c r="AH5" s="7"/>
      <c r="AI5" s="7"/>
    </row>
    <row r="6" customFormat="false" ht="12.8" hidden="false" customHeight="tru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U6" s="7"/>
      <c r="V6" s="7"/>
      <c r="W6" s="7"/>
      <c r="X6" s="7"/>
      <c r="Y6" s="7"/>
      <c r="AF6" s="7"/>
      <c r="AG6" s="7"/>
      <c r="AH6" s="7"/>
      <c r="AI6" s="7"/>
    </row>
    <row r="7" customFormat="false" ht="12.8" hidden="false" customHeight="true" outlineLevel="0" collapsed="false">
      <c r="A7" s="7" t="s">
        <v>368</v>
      </c>
      <c r="B7" s="7"/>
      <c r="C7" s="7"/>
      <c r="D7" s="7"/>
      <c r="E7" s="7"/>
      <c r="F7" s="7"/>
      <c r="G7" s="7" t="s">
        <v>369</v>
      </c>
      <c r="H7" s="7"/>
      <c r="I7" s="7"/>
      <c r="J7" s="7"/>
      <c r="K7" s="7"/>
      <c r="L7" s="7"/>
      <c r="U7" s="7"/>
      <c r="V7" s="7"/>
      <c r="W7" s="7"/>
      <c r="X7" s="7"/>
      <c r="Y7" s="7"/>
      <c r="AF7" s="7"/>
      <c r="AG7" s="7"/>
      <c r="AH7" s="7"/>
      <c r="AI7" s="7"/>
    </row>
    <row r="8" customFormat="false" ht="14.9" hidden="false" customHeight="true" outlineLevel="0" collapsed="false">
      <c r="A8" s="7" t="s">
        <v>370</v>
      </c>
      <c r="B8" s="7" t="s">
        <v>371</v>
      </c>
      <c r="C8" s="7" t="s">
        <v>372</v>
      </c>
      <c r="D8" s="7" t="s">
        <v>373</v>
      </c>
      <c r="E8" s="7" t="s">
        <v>144</v>
      </c>
      <c r="F8" s="7"/>
      <c r="G8" s="7" t="s">
        <v>370</v>
      </c>
      <c r="H8" s="7" t="s">
        <v>371</v>
      </c>
      <c r="I8" s="7" t="s">
        <v>372</v>
      </c>
      <c r="J8" s="7" t="s">
        <v>373</v>
      </c>
      <c r="K8" s="7" t="s">
        <v>144</v>
      </c>
      <c r="L8" s="7"/>
      <c r="U8" s="7" t="s">
        <v>370</v>
      </c>
      <c r="V8" s="7" t="s">
        <v>371</v>
      </c>
      <c r="W8" s="7" t="s">
        <v>372</v>
      </c>
      <c r="X8" s="7" t="s">
        <v>373</v>
      </c>
      <c r="Y8" s="7" t="s">
        <v>144</v>
      </c>
      <c r="AF8" s="7" t="s">
        <v>370</v>
      </c>
      <c r="AG8" s="7" t="s">
        <v>371</v>
      </c>
      <c r="AH8" s="7" t="s">
        <v>373</v>
      </c>
      <c r="AI8" s="7" t="s">
        <v>144</v>
      </c>
    </row>
    <row r="9" customFormat="false" ht="14.9" hidden="false" customHeight="true" outlineLevel="0" collapsed="false"/>
    <row r="10" customFormat="false" ht="14.9" hidden="false" customHeight="true" outlineLevel="0" collapsed="false">
      <c r="A10" s="1" t="n">
        <v>1</v>
      </c>
      <c r="B10" s="1" t="n">
        <v>1</v>
      </c>
      <c r="C10" s="1" t="n">
        <v>1</v>
      </c>
      <c r="D10" s="7" t="n">
        <v>1</v>
      </c>
      <c r="E10" s="1" t="s">
        <v>374</v>
      </c>
      <c r="G10" s="1" t="n">
        <v>1</v>
      </c>
      <c r="H10" s="1" t="n">
        <v>2</v>
      </c>
      <c r="I10" s="1" t="n">
        <v>1</v>
      </c>
      <c r="J10" s="7" t="n">
        <v>1</v>
      </c>
      <c r="K10" s="1" t="s">
        <v>375</v>
      </c>
      <c r="M10" s="5" t="s">
        <v>39</v>
      </c>
      <c r="U10" s="1" t="n">
        <v>1</v>
      </c>
      <c r="V10" s="1" t="n">
        <v>2</v>
      </c>
      <c r="W10" s="1" t="n">
        <v>1</v>
      </c>
      <c r="X10" s="1" t="n">
        <v>1</v>
      </c>
      <c r="Y10" s="1" t="s">
        <v>376</v>
      </c>
      <c r="Z10" s="1"/>
      <c r="AB10" s="7" t="s">
        <v>251</v>
      </c>
      <c r="AC10" s="7" t="s">
        <v>292</v>
      </c>
      <c r="AD10" s="7" t="s">
        <v>377</v>
      </c>
      <c r="AF10" s="7" t="n">
        <v>1</v>
      </c>
      <c r="AG10" s="60" t="n">
        <f aca="false">AK$11+AK$13</f>
        <v>2.1582</v>
      </c>
      <c r="AH10" s="0" t="n">
        <v>1</v>
      </c>
      <c r="AI10" s="1" t="s">
        <v>378</v>
      </c>
      <c r="AK10" s="7" t="s">
        <v>251</v>
      </c>
      <c r="AL10" s="7" t="s">
        <v>292</v>
      </c>
    </row>
    <row r="11" customFormat="false" ht="14.9" hidden="false" customHeight="true" outlineLevel="0" collapsed="false">
      <c r="A11" s="1" t="n">
        <f aca="false">1+A10</f>
        <v>2</v>
      </c>
      <c r="B11" s="1" t="n">
        <v>2</v>
      </c>
      <c r="C11" s="1" t="n">
        <v>1</v>
      </c>
      <c r="D11" s="7" t="n">
        <v>1</v>
      </c>
      <c r="E11" s="1" t="s">
        <v>374</v>
      </c>
      <c r="G11" s="1" t="n">
        <f aca="false">1+G10</f>
        <v>2</v>
      </c>
      <c r="H11" s="1" t="n">
        <v>3</v>
      </c>
      <c r="I11" s="1" t="n">
        <v>1</v>
      </c>
      <c r="J11" s="7" t="n">
        <v>1</v>
      </c>
      <c r="K11" s="1" t="s">
        <v>375</v>
      </c>
      <c r="N11" s="7" t="s">
        <v>192</v>
      </c>
      <c r="Q11" s="7" t="s">
        <v>193</v>
      </c>
      <c r="U11" s="1" t="n">
        <f aca="false">1+U10</f>
        <v>2</v>
      </c>
      <c r="V11" s="1" t="n">
        <v>2</v>
      </c>
      <c r="W11" s="1" t="n">
        <v>1</v>
      </c>
      <c r="X11" s="1" t="n">
        <v>1</v>
      </c>
      <c r="Y11" s="1" t="s">
        <v>376</v>
      </c>
      <c r="Z11" s="1"/>
      <c r="AA11" s="6" t="s">
        <v>373</v>
      </c>
      <c r="AB11" s="1" t="n">
        <f aca="false">AVERAGE($V10:$V53)</f>
        <v>3.54545454545455</v>
      </c>
      <c r="AC11" s="1" t="n">
        <f aca="false">STDEV($V10:$V53)</f>
        <v>1.93444355865111</v>
      </c>
      <c r="AD11" s="61" t="n">
        <f aca="false">TTEST(V10:V53,V55:V134,2,2)</f>
        <v>0.00834262589526795</v>
      </c>
      <c r="AF11" s="7" t="n">
        <f aca="false">AF10+1</f>
        <v>2</v>
      </c>
      <c r="AG11" s="60" t="n">
        <f aca="false">AK$11-AK$13</f>
        <v>1.0418</v>
      </c>
      <c r="AH11" s="0" t="n">
        <v>1</v>
      </c>
      <c r="AI11" s="1" t="s">
        <v>378</v>
      </c>
      <c r="AK11" s="62" t="n">
        <f aca="false">'Calculations 2'!I21</f>
        <v>1.6</v>
      </c>
      <c r="AL11" s="63" t="n">
        <f aca="false">'Calculations 2'!G20</f>
        <v>0.596726915784708</v>
      </c>
      <c r="AM11" s="0" t="s">
        <v>379</v>
      </c>
    </row>
    <row r="12" customFormat="false" ht="14.1" hidden="false" customHeight="true" outlineLevel="0" collapsed="false">
      <c r="A12" s="1" t="n">
        <f aca="false">1+A11</f>
        <v>3</v>
      </c>
      <c r="B12" s="1" t="n">
        <v>2</v>
      </c>
      <c r="C12" s="1" t="n">
        <v>1</v>
      </c>
      <c r="D12" s="7" t="n">
        <v>1</v>
      </c>
      <c r="E12" s="1" t="s">
        <v>374</v>
      </c>
      <c r="G12" s="1" t="n">
        <f aca="false">1+G11</f>
        <v>3</v>
      </c>
      <c r="H12" s="1" t="n">
        <v>3</v>
      </c>
      <c r="I12" s="1" t="n">
        <v>1</v>
      </c>
      <c r="J12" s="7" t="n">
        <v>1</v>
      </c>
      <c r="K12" s="1" t="s">
        <v>375</v>
      </c>
      <c r="U12" s="1" t="n">
        <f aca="false">1+U11</f>
        <v>3</v>
      </c>
      <c r="V12" s="1" t="n">
        <v>2</v>
      </c>
      <c r="W12" s="1" t="n">
        <v>1</v>
      </c>
      <c r="X12" s="1" t="n">
        <v>1</v>
      </c>
      <c r="Y12" s="1" t="s">
        <v>376</v>
      </c>
      <c r="Z12" s="1"/>
      <c r="AA12" s="6" t="s">
        <v>193</v>
      </c>
      <c r="AB12" s="1" t="n">
        <f aca="false">AVERAGE($V55:$V134)</f>
        <v>4.2125</v>
      </c>
      <c r="AC12" s="1" t="n">
        <f aca="false">STDEV($V55:$V134)</f>
        <v>0.822065167271128</v>
      </c>
      <c r="AD12" s="1"/>
      <c r="AF12" s="7" t="n">
        <f aca="false">AF11+1</f>
        <v>3</v>
      </c>
      <c r="AG12" s="60" t="n">
        <f aca="false">AK$11+AK$13</f>
        <v>2.1582</v>
      </c>
      <c r="AH12" s="0" t="n">
        <v>1</v>
      </c>
      <c r="AI12" s="1" t="s">
        <v>378</v>
      </c>
    </row>
    <row r="13" customFormat="false" ht="14.9" hidden="false" customHeight="true" outlineLevel="0" collapsed="false">
      <c r="A13" s="1" t="n">
        <f aca="false">1+A12</f>
        <v>4</v>
      </c>
      <c r="B13" s="1" t="n">
        <v>2</v>
      </c>
      <c r="C13" s="1" t="n">
        <v>1</v>
      </c>
      <c r="D13" s="7" t="n">
        <v>1</v>
      </c>
      <c r="E13" s="1" t="s">
        <v>374</v>
      </c>
      <c r="G13" s="1" t="n">
        <f aca="false">1+G12</f>
        <v>4</v>
      </c>
      <c r="H13" s="1" t="n">
        <v>3</v>
      </c>
      <c r="I13" s="1" t="n">
        <v>1</v>
      </c>
      <c r="J13" s="7" t="n">
        <v>1</v>
      </c>
      <c r="K13" s="1" t="s">
        <v>375</v>
      </c>
      <c r="N13" s="1" t="s">
        <v>251</v>
      </c>
      <c r="O13" s="1" t="s">
        <v>292</v>
      </c>
      <c r="P13" s="1" t="s">
        <v>202</v>
      </c>
      <c r="Q13" s="1" t="s">
        <v>251</v>
      </c>
      <c r="R13" s="1" t="s">
        <v>292</v>
      </c>
      <c r="S13" s="1" t="s">
        <v>202</v>
      </c>
      <c r="U13" s="1" t="n">
        <f aca="false">1+U12</f>
        <v>4</v>
      </c>
      <c r="V13" s="1" t="n">
        <v>2</v>
      </c>
      <c r="W13" s="1" t="n">
        <v>1</v>
      </c>
      <c r="X13" s="1" t="n">
        <v>1</v>
      </c>
      <c r="Y13" s="1" t="s">
        <v>376</v>
      </c>
      <c r="Z13" s="1"/>
      <c r="AA13" s="6"/>
      <c r="AB13" s="1"/>
      <c r="AC13" s="1"/>
      <c r="AD13" s="1"/>
      <c r="AF13" s="7" t="n">
        <f aca="false">AF12+1</f>
        <v>4</v>
      </c>
      <c r="AG13" s="60" t="n">
        <f aca="false">AK$11-AK$13</f>
        <v>1.0418</v>
      </c>
      <c r="AH13" s="0" t="n">
        <v>1</v>
      </c>
      <c r="AI13" s="1" t="s">
        <v>378</v>
      </c>
      <c r="AK13" s="63" t="n">
        <v>0.5582</v>
      </c>
      <c r="AL13" s="64" t="s">
        <v>380</v>
      </c>
    </row>
    <row r="14" customFormat="false" ht="14.1" hidden="false" customHeight="true" outlineLevel="0" collapsed="false">
      <c r="A14" s="1" t="n">
        <f aca="false">1+A13</f>
        <v>5</v>
      </c>
      <c r="B14" s="1" t="n">
        <v>2</v>
      </c>
      <c r="C14" s="1" t="n">
        <v>1</v>
      </c>
      <c r="D14" s="7" t="n">
        <v>1</v>
      </c>
      <c r="E14" s="1" t="s">
        <v>374</v>
      </c>
      <c r="G14" s="1" t="n">
        <f aca="false">1+G13</f>
        <v>5</v>
      </c>
      <c r="H14" s="1" t="n">
        <v>3</v>
      </c>
      <c r="I14" s="1" t="n">
        <v>1</v>
      </c>
      <c r="J14" s="7" t="n">
        <v>1</v>
      </c>
      <c r="K14" s="1" t="s">
        <v>375</v>
      </c>
      <c r="M14" s="0" t="s">
        <v>381</v>
      </c>
      <c r="N14" s="1" t="n">
        <f aca="false">AVERAGE($B10:$B41)</f>
        <v>3.96875</v>
      </c>
      <c r="O14" s="1" t="n">
        <f aca="false">STDEV($B10:$B41)</f>
        <v>1.94246891451857</v>
      </c>
      <c r="P14" s="1" t="n">
        <f aca="false">COUNT($B10:$B41)</f>
        <v>32</v>
      </c>
      <c r="Q14" s="1" t="n">
        <f aca="false">AVERAGE($B43:$B75)</f>
        <v>5.63636363636364</v>
      </c>
      <c r="R14" s="1" t="n">
        <f aca="false">STDEV(B43:B75)</f>
        <v>2.42149465488495</v>
      </c>
      <c r="S14" s="1" t="n">
        <f aca="false">COUNT($B43:$B75)</f>
        <v>33</v>
      </c>
      <c r="U14" s="1" t="n">
        <f aca="false">1+U13</f>
        <v>5</v>
      </c>
      <c r="V14" s="1" t="n">
        <v>2</v>
      </c>
      <c r="W14" s="1" t="n">
        <v>1</v>
      </c>
      <c r="X14" s="1" t="n">
        <v>1</v>
      </c>
      <c r="Y14" s="1" t="s">
        <v>376</v>
      </c>
      <c r="Z14" s="1"/>
      <c r="AA14" s="6"/>
      <c r="AB14" s="1"/>
      <c r="AC14" s="1"/>
      <c r="AD14" s="1"/>
      <c r="AF14" s="7" t="n">
        <f aca="false">AF13+1</f>
        <v>5</v>
      </c>
      <c r="AG14" s="60" t="n">
        <f aca="false">AK$11+AK$13</f>
        <v>2.1582</v>
      </c>
      <c r="AH14" s="0" t="n">
        <v>1</v>
      </c>
      <c r="AI14" s="1" t="s">
        <v>378</v>
      </c>
    </row>
    <row r="15" customFormat="false" ht="14.1" hidden="false" customHeight="true" outlineLevel="0" collapsed="false">
      <c r="A15" s="1" t="n">
        <f aca="false">1+A14</f>
        <v>6</v>
      </c>
      <c r="B15" s="1" t="n">
        <v>2</v>
      </c>
      <c r="C15" s="1" t="n">
        <v>1</v>
      </c>
      <c r="D15" s="7" t="n">
        <v>1</v>
      </c>
      <c r="E15" s="1" t="s">
        <v>374</v>
      </c>
      <c r="G15" s="1" t="n">
        <f aca="false">1+G14</f>
        <v>6</v>
      </c>
      <c r="H15" s="1" t="n">
        <v>3</v>
      </c>
      <c r="I15" s="1" t="n">
        <v>1</v>
      </c>
      <c r="J15" s="7" t="n">
        <v>1</v>
      </c>
      <c r="K15" s="1" t="s">
        <v>375</v>
      </c>
      <c r="M15" s="0" t="s">
        <v>382</v>
      </c>
      <c r="N15" s="1" t="n">
        <f aca="false">AVERAGE($B77:$B115)</f>
        <v>6.76923076923077</v>
      </c>
      <c r="O15" s="1" t="n">
        <f aca="false">STDEV(B77:B115)</f>
        <v>2.81407681843992</v>
      </c>
      <c r="P15" s="1" t="n">
        <f aca="false">COUNT($B77:$B115)</f>
        <v>39</v>
      </c>
      <c r="Q15" s="1" t="n">
        <f aca="false">AVERAGE($B117:$B141)</f>
        <v>6.16</v>
      </c>
      <c r="R15" s="1" t="n">
        <f aca="false">STDEV(B117:B141)</f>
        <v>2.54427461830152</v>
      </c>
      <c r="S15" s="1" t="n">
        <f aca="false">COUNT($B117:$B141)</f>
        <v>25</v>
      </c>
      <c r="U15" s="1" t="n">
        <f aca="false">1+U14</f>
        <v>6</v>
      </c>
      <c r="V15" s="1" t="n">
        <v>2</v>
      </c>
      <c r="W15" s="1" t="n">
        <v>1</v>
      </c>
      <c r="X15" s="1" t="n">
        <v>1</v>
      </c>
      <c r="Y15" s="1" t="s">
        <v>376</v>
      </c>
      <c r="Z15" s="1"/>
      <c r="AA15" s="6"/>
      <c r="AB15" s="1"/>
      <c r="AC15" s="1"/>
      <c r="AD15" s="1"/>
      <c r="AF15" s="7" t="n">
        <f aca="false">AF14+1</f>
        <v>6</v>
      </c>
      <c r="AG15" s="60" t="n">
        <f aca="false">AK$11-AK$13</f>
        <v>1.0418</v>
      </c>
      <c r="AH15" s="0" t="n">
        <v>1</v>
      </c>
      <c r="AI15" s="1" t="s">
        <v>378</v>
      </c>
      <c r="AK15" s="64" t="s">
        <v>383</v>
      </c>
    </row>
    <row r="16" customFormat="false" ht="14.1" hidden="false" customHeight="true" outlineLevel="0" collapsed="false">
      <c r="A16" s="1" t="n">
        <f aca="false">1+A15</f>
        <v>7</v>
      </c>
      <c r="B16" s="1" t="n">
        <v>2</v>
      </c>
      <c r="C16" s="1" t="n">
        <v>1</v>
      </c>
      <c r="D16" s="7" t="n">
        <v>1</v>
      </c>
      <c r="E16" s="1" t="s">
        <v>374</v>
      </c>
      <c r="G16" s="1" t="n">
        <f aca="false">1+G15</f>
        <v>7</v>
      </c>
      <c r="H16" s="1" t="n">
        <v>4</v>
      </c>
      <c r="I16" s="1" t="n">
        <v>1</v>
      </c>
      <c r="J16" s="7" t="n">
        <v>1</v>
      </c>
      <c r="K16" s="1" t="s">
        <v>375</v>
      </c>
      <c r="N16" s="0"/>
      <c r="O16" s="0"/>
      <c r="P16" s="0"/>
      <c r="Q16" s="0"/>
      <c r="R16" s="0"/>
      <c r="U16" s="1" t="n">
        <f aca="false">1+U15</f>
        <v>7</v>
      </c>
      <c r="V16" s="1" t="n">
        <v>2</v>
      </c>
      <c r="W16" s="1" t="n">
        <v>1</v>
      </c>
      <c r="X16" s="1" t="n">
        <v>1</v>
      </c>
      <c r="Y16" s="1" t="s">
        <v>376</v>
      </c>
      <c r="Z16" s="1"/>
      <c r="AA16" s="6"/>
      <c r="AB16" s="7" t="s">
        <v>371</v>
      </c>
      <c r="AC16" s="7" t="s">
        <v>384</v>
      </c>
      <c r="AD16" s="1"/>
      <c r="AF16" s="7" t="n">
        <f aca="false">AF15+1</f>
        <v>7</v>
      </c>
      <c r="AG16" s="60" t="n">
        <f aca="false">AK$11+AK$13</f>
        <v>2.1582</v>
      </c>
      <c r="AH16" s="0" t="n">
        <v>1</v>
      </c>
      <c r="AI16" s="1" t="s">
        <v>378</v>
      </c>
      <c r="AK16" s="62" t="n">
        <f aca="false">AVERAGE(AG10:AG17)</f>
        <v>1.6</v>
      </c>
      <c r="AL16" s="63" t="n">
        <f aca="false">STDEV(AG10:AG17)</f>
        <v>0.596740900942061</v>
      </c>
    </row>
    <row r="17" customFormat="false" ht="14.1" hidden="false" customHeight="true" outlineLevel="0" collapsed="false">
      <c r="A17" s="1" t="n">
        <f aca="false">1+A16</f>
        <v>8</v>
      </c>
      <c r="B17" s="1" t="n">
        <v>3</v>
      </c>
      <c r="C17" s="1" t="n">
        <v>1</v>
      </c>
      <c r="D17" s="7" t="n">
        <v>1</v>
      </c>
      <c r="E17" s="1" t="s">
        <v>374</v>
      </c>
      <c r="G17" s="1" t="n">
        <f aca="false">1+G16</f>
        <v>8</v>
      </c>
      <c r="H17" s="1" t="n">
        <v>4</v>
      </c>
      <c r="I17" s="1" t="n">
        <v>1</v>
      </c>
      <c r="J17" s="7" t="n">
        <v>1</v>
      </c>
      <c r="K17" s="1" t="s">
        <v>375</v>
      </c>
      <c r="M17" s="0" t="s">
        <v>385</v>
      </c>
      <c r="N17" s="1" t="n">
        <f aca="false">AVERAGE($H10:$H48)</f>
        <v>5.92307692307692</v>
      </c>
      <c r="O17" s="1" t="n">
        <f aca="false">STDEV(H10:H48)</f>
        <v>2.64957410067727</v>
      </c>
      <c r="P17" s="1" t="n">
        <f aca="false">COUNT($H10:$H48)</f>
        <v>39</v>
      </c>
      <c r="Q17" s="1" t="n">
        <f aca="false">AVERAGE($H50:$H74)</f>
        <v>4.96</v>
      </c>
      <c r="R17" s="1" t="n">
        <f aca="false">STDEV(H50:H74)</f>
        <v>1.96807858921674</v>
      </c>
      <c r="S17" s="1" t="n">
        <f aca="false">COUNT($H50:$H74)</f>
        <v>25</v>
      </c>
      <c r="U17" s="1" t="n">
        <f aca="false">1+U16</f>
        <v>8</v>
      </c>
      <c r="V17" s="1" t="n">
        <v>2</v>
      </c>
      <c r="W17" s="1" t="n">
        <v>1</v>
      </c>
      <c r="X17" s="1" t="n">
        <v>1</v>
      </c>
      <c r="Y17" s="1" t="s">
        <v>376</v>
      </c>
      <c r="Z17" s="1"/>
      <c r="AA17" s="6" t="s">
        <v>373</v>
      </c>
      <c r="AB17" s="1" t="n">
        <v>2</v>
      </c>
      <c r="AC17" s="1" t="n">
        <f aca="false">COUNTIF(V$10:V$53,AB17)</f>
        <v>12</v>
      </c>
      <c r="AD17" s="1" t="n">
        <f aca="false">AB17*AC17</f>
        <v>24</v>
      </c>
      <c r="AF17" s="7" t="n">
        <f aca="false">AF16+1</f>
        <v>8</v>
      </c>
      <c r="AG17" s="60" t="n">
        <f aca="false">AK$11-AK$13</f>
        <v>1.0418</v>
      </c>
      <c r="AH17" s="0" t="n">
        <v>1</v>
      </c>
      <c r="AI17" s="1" t="s">
        <v>378</v>
      </c>
      <c r="AL17" s="65" t="n">
        <f aca="false">AL16/AL11</f>
        <v>1.00002343644468</v>
      </c>
      <c r="AM17" s="0" t="s">
        <v>386</v>
      </c>
    </row>
    <row r="18" customFormat="false" ht="14.1" hidden="false" customHeight="true" outlineLevel="0" collapsed="false">
      <c r="A18" s="1" t="n">
        <f aca="false">1+A17</f>
        <v>9</v>
      </c>
      <c r="B18" s="1" t="n">
        <v>3</v>
      </c>
      <c r="C18" s="1" t="n">
        <v>1</v>
      </c>
      <c r="D18" s="7" t="n">
        <v>1</v>
      </c>
      <c r="E18" s="1" t="s">
        <v>374</v>
      </c>
      <c r="G18" s="1" t="n">
        <f aca="false">1+G17</f>
        <v>9</v>
      </c>
      <c r="H18" s="1" t="n">
        <v>4</v>
      </c>
      <c r="I18" s="1" t="n">
        <v>1</v>
      </c>
      <c r="J18" s="7" t="n">
        <v>1</v>
      </c>
      <c r="K18" s="1" t="s">
        <v>375</v>
      </c>
      <c r="M18" s="0" t="s">
        <v>387</v>
      </c>
      <c r="N18" s="1" t="n">
        <f aca="false">AVERAGE($H76:$H110)</f>
        <v>6.62857142857143</v>
      </c>
      <c r="O18" s="1" t="n">
        <f aca="false">STDEV(H76:H110)</f>
        <v>2.7233814868081</v>
      </c>
      <c r="P18" s="1" t="n">
        <f aca="false">COUNT($H76:$H110)</f>
        <v>35</v>
      </c>
      <c r="Q18" s="1" t="n">
        <f aca="false">AVERAGE($H112:$H147)</f>
        <v>7.88888888888889</v>
      </c>
      <c r="R18" s="1" t="n">
        <f aca="false">STDEV(H112:H147)</f>
        <v>3.05920417081472</v>
      </c>
      <c r="S18" s="1" t="n">
        <f aca="false">COUNT($H112:$H147)</f>
        <v>36</v>
      </c>
      <c r="U18" s="1" t="n">
        <f aca="false">1+U17</f>
        <v>9</v>
      </c>
      <c r="V18" s="1" t="n">
        <v>2</v>
      </c>
      <c r="W18" s="1" t="n">
        <v>1</v>
      </c>
      <c r="X18" s="1" t="n">
        <v>1</v>
      </c>
      <c r="Y18" s="1" t="s">
        <v>376</v>
      </c>
      <c r="Z18" s="1"/>
      <c r="AA18" s="6"/>
      <c r="AB18" s="1" t="n">
        <v>3</v>
      </c>
      <c r="AC18" s="1" t="n">
        <f aca="false">COUNTIF(V$10:V$53,AB18)</f>
        <v>13</v>
      </c>
      <c r="AD18" s="1" t="n">
        <f aca="false">AB18*AC18</f>
        <v>39</v>
      </c>
      <c r="AF18" s="0" t="n">
        <f aca="false">AF17+1</f>
        <v>9</v>
      </c>
      <c r="AG18" s="0" t="n">
        <v>0</v>
      </c>
      <c r="AH18" s="0" t="n">
        <v>1</v>
      </c>
      <c r="AI18" s="1" t="s">
        <v>378</v>
      </c>
    </row>
    <row r="19" customFormat="false" ht="14.1" hidden="false" customHeight="true" outlineLevel="0" collapsed="false">
      <c r="A19" s="1" t="n">
        <f aca="false">1+A18</f>
        <v>10</v>
      </c>
      <c r="B19" s="1" t="n">
        <v>3</v>
      </c>
      <c r="C19" s="1" t="n">
        <v>1</v>
      </c>
      <c r="D19" s="7" t="n">
        <v>1</v>
      </c>
      <c r="E19" s="1" t="s">
        <v>374</v>
      </c>
      <c r="G19" s="1" t="n">
        <f aca="false">1+G18</f>
        <v>10</v>
      </c>
      <c r="H19" s="1" t="n">
        <v>4</v>
      </c>
      <c r="I19" s="1" t="n">
        <v>1</v>
      </c>
      <c r="J19" s="7" t="n">
        <v>1</v>
      </c>
      <c r="K19" s="1" t="s">
        <v>375</v>
      </c>
      <c r="U19" s="1" t="n">
        <f aca="false">1+U18</f>
        <v>10</v>
      </c>
      <c r="V19" s="1" t="n">
        <v>2</v>
      </c>
      <c r="W19" s="1" t="n">
        <v>1</v>
      </c>
      <c r="X19" s="1" t="n">
        <v>1</v>
      </c>
      <c r="Y19" s="1" t="s">
        <v>376</v>
      </c>
      <c r="Z19" s="1"/>
      <c r="AA19" s="6"/>
      <c r="AB19" s="1" t="n">
        <v>4</v>
      </c>
      <c r="AC19" s="1" t="n">
        <f aca="false">COUNTIF(V$10:V$53,AB19)</f>
        <v>12</v>
      </c>
      <c r="AD19" s="1" t="n">
        <f aca="false">AB19*AC19</f>
        <v>48</v>
      </c>
      <c r="AF19" s="0" t="n">
        <f aca="false">AF18+1</f>
        <v>10</v>
      </c>
      <c r="AG19" s="0" t="n">
        <v>0</v>
      </c>
      <c r="AH19" s="0" t="n">
        <v>1</v>
      </c>
      <c r="AI19" s="1" t="s">
        <v>378</v>
      </c>
      <c r="AK19" s="64" t="s">
        <v>388</v>
      </c>
    </row>
    <row r="20" customFormat="false" ht="14.1" hidden="false" customHeight="true" outlineLevel="0" collapsed="false">
      <c r="A20" s="1" t="n">
        <f aca="false">1+A19</f>
        <v>11</v>
      </c>
      <c r="B20" s="1" t="n">
        <v>3</v>
      </c>
      <c r="C20" s="1" t="n">
        <v>1</v>
      </c>
      <c r="D20" s="7" t="n">
        <v>1</v>
      </c>
      <c r="E20" s="1" t="s">
        <v>374</v>
      </c>
      <c r="G20" s="1" t="n">
        <f aca="false">1+G19</f>
        <v>11</v>
      </c>
      <c r="H20" s="1" t="n">
        <v>4</v>
      </c>
      <c r="I20" s="1" t="n">
        <v>1</v>
      </c>
      <c r="J20" s="7" t="n">
        <v>1</v>
      </c>
      <c r="K20" s="1" t="s">
        <v>375</v>
      </c>
      <c r="M20" s="5" t="s">
        <v>389</v>
      </c>
      <c r="N20" s="7" t="n">
        <f aca="false">AVERAGE($B10:$B41,$B77:$B115,$H10:$H48,$H76:$H110)</f>
        <v>5.88965517241379</v>
      </c>
      <c r="O20" s="7" t="n">
        <f aca="false">STDEV($B10:$B41,$B77:$B115,$H10:$H48,$H76:$H110)</f>
        <v>2.76916865126649</v>
      </c>
      <c r="P20" s="7" t="n">
        <f aca="false">SUM(P14:P18)</f>
        <v>145</v>
      </c>
      <c r="Q20" s="7" t="n">
        <f aca="false">AVERAGE($B43:$B75,$B117:$B141,$H50:$H74,$H112:$H147)</f>
        <v>6.28571428571429</v>
      </c>
      <c r="R20" s="7" t="n">
        <f aca="false">STDEV($B43:$B75,$B117:$B141,$H50:$H74,$H112:$H147)</f>
        <v>2.78355600255688</v>
      </c>
      <c r="S20" s="7" t="n">
        <f aca="false">SUM(S14:S18)</f>
        <v>119</v>
      </c>
      <c r="U20" s="1" t="n">
        <f aca="false">1+U19</f>
        <v>11</v>
      </c>
      <c r="V20" s="1" t="n">
        <v>2</v>
      </c>
      <c r="W20" s="1" t="n">
        <v>1</v>
      </c>
      <c r="X20" s="1" t="n">
        <v>1</v>
      </c>
      <c r="Y20" s="1" t="s">
        <v>376</v>
      </c>
      <c r="Z20" s="1"/>
      <c r="AA20" s="6"/>
      <c r="AB20" s="1" t="n">
        <v>5</v>
      </c>
      <c r="AC20" s="1" t="n">
        <f aca="false">COUNTIF(V$10:V$53,AB20)</f>
        <v>5</v>
      </c>
      <c r="AD20" s="1" t="n">
        <f aca="false">AB20*AC20</f>
        <v>25</v>
      </c>
      <c r="AF20" s="0" t="n">
        <f aca="false">AF19+1</f>
        <v>11</v>
      </c>
      <c r="AG20" s="0" t="n">
        <v>0</v>
      </c>
      <c r="AH20" s="0" t="n">
        <v>1</v>
      </c>
      <c r="AI20" s="1" t="s">
        <v>378</v>
      </c>
      <c r="AN20" s="1" t="s">
        <v>202</v>
      </c>
    </row>
    <row r="21" customFormat="false" ht="14.1" hidden="false" customHeight="true" outlineLevel="0" collapsed="false">
      <c r="A21" s="1" t="n">
        <f aca="false">1+A20</f>
        <v>12</v>
      </c>
      <c r="B21" s="1" t="n">
        <v>3</v>
      </c>
      <c r="C21" s="1" t="n">
        <v>1</v>
      </c>
      <c r="D21" s="7" t="n">
        <v>1</v>
      </c>
      <c r="E21" s="1" t="s">
        <v>374</v>
      </c>
      <c r="G21" s="1" t="n">
        <f aca="false">1+G20</f>
        <v>12</v>
      </c>
      <c r="H21" s="1" t="n">
        <v>4</v>
      </c>
      <c r="I21" s="1" t="n">
        <v>1</v>
      </c>
      <c r="J21" s="7" t="n">
        <v>1</v>
      </c>
      <c r="K21" s="1" t="s">
        <v>375</v>
      </c>
      <c r="U21" s="1" t="n">
        <f aca="false">1+U20</f>
        <v>12</v>
      </c>
      <c r="V21" s="1" t="n">
        <v>2</v>
      </c>
      <c r="W21" s="1" t="n">
        <v>1</v>
      </c>
      <c r="X21" s="1" t="n">
        <v>1</v>
      </c>
      <c r="Y21" s="1" t="s">
        <v>376</v>
      </c>
      <c r="Z21" s="1"/>
      <c r="AA21" s="6"/>
      <c r="AB21" s="1" t="n">
        <v>6</v>
      </c>
      <c r="AC21" s="1" t="n">
        <f aca="false">COUNTIF(V$10:V$53,AB21)</f>
        <v>1</v>
      </c>
      <c r="AD21" s="1" t="n">
        <f aca="false">AB21*AC21</f>
        <v>6</v>
      </c>
      <c r="AF21" s="0" t="n">
        <f aca="false">AF20+1</f>
        <v>12</v>
      </c>
      <c r="AG21" s="0" t="n">
        <v>0</v>
      </c>
      <c r="AH21" s="0" t="n">
        <v>1</v>
      </c>
      <c r="AI21" s="1" t="s">
        <v>378</v>
      </c>
      <c r="AK21" s="62" t="n">
        <f aca="false">AVERAGE($AG10:$AG39)</f>
        <v>0.426666666666667</v>
      </c>
      <c r="AL21" s="61" t="n">
        <f aca="false">STDEV($AG10:$AG39)</f>
        <v>0.777071527055856</v>
      </c>
      <c r="AN21" s="1" t="n">
        <f aca="false">COUNT(AH10:AH39)</f>
        <v>30</v>
      </c>
    </row>
    <row r="22" customFormat="false" ht="14.1" hidden="false" customHeight="true" outlineLevel="0" collapsed="false">
      <c r="A22" s="1" t="n">
        <f aca="false">1+A21</f>
        <v>13</v>
      </c>
      <c r="B22" s="1" t="n">
        <v>3</v>
      </c>
      <c r="C22" s="1" t="n">
        <v>1</v>
      </c>
      <c r="D22" s="7" t="n">
        <v>1</v>
      </c>
      <c r="E22" s="1" t="s">
        <v>374</v>
      </c>
      <c r="G22" s="1" t="n">
        <f aca="false">1+G21</f>
        <v>13</v>
      </c>
      <c r="H22" s="1" t="n">
        <v>4</v>
      </c>
      <c r="I22" s="1" t="n">
        <v>1</v>
      </c>
      <c r="J22" s="7" t="n">
        <v>1</v>
      </c>
      <c r="K22" s="1" t="s">
        <v>375</v>
      </c>
      <c r="M22" s="41"/>
      <c r="N22" s="31"/>
      <c r="U22" s="1" t="n">
        <f aca="false">1+U21</f>
        <v>13</v>
      </c>
      <c r="V22" s="1" t="n">
        <v>3</v>
      </c>
      <c r="W22" s="1" t="n">
        <v>1</v>
      </c>
      <c r="X22" s="1" t="n">
        <v>1</v>
      </c>
      <c r="Y22" s="1" t="s">
        <v>376</v>
      </c>
      <c r="Z22" s="1"/>
      <c r="AA22" s="6"/>
      <c r="AB22" s="1" t="n">
        <v>14</v>
      </c>
      <c r="AC22" s="1" t="n">
        <f aca="false">COUNTIF(V$10:V$53,AB22)</f>
        <v>1</v>
      </c>
      <c r="AD22" s="1" t="n">
        <f aca="false">AB22*AC22</f>
        <v>14</v>
      </c>
      <c r="AF22" s="0" t="n">
        <f aca="false">AF21+1</f>
        <v>13</v>
      </c>
      <c r="AG22" s="0" t="n">
        <v>0</v>
      </c>
      <c r="AH22" s="0" t="n">
        <v>1</v>
      </c>
      <c r="AI22" s="1" t="s">
        <v>378</v>
      </c>
      <c r="AL22" s="66"/>
    </row>
    <row r="23" customFormat="false" ht="17.55" hidden="false" customHeight="true" outlineLevel="0" collapsed="false">
      <c r="A23" s="1" t="n">
        <f aca="false">1+A22</f>
        <v>14</v>
      </c>
      <c r="B23" s="1" t="n">
        <v>3</v>
      </c>
      <c r="C23" s="1" t="n">
        <v>1</v>
      </c>
      <c r="D23" s="7" t="n">
        <v>1</v>
      </c>
      <c r="E23" s="1" t="s">
        <v>374</v>
      </c>
      <c r="G23" s="1" t="n">
        <f aca="false">1+G22</f>
        <v>14</v>
      </c>
      <c r="H23" s="1" t="n">
        <v>4</v>
      </c>
      <c r="I23" s="1" t="n">
        <v>1</v>
      </c>
      <c r="J23" s="7" t="n">
        <v>1</v>
      </c>
      <c r="K23" s="1" t="s">
        <v>375</v>
      </c>
      <c r="M23" s="3"/>
      <c r="N23" s="31"/>
      <c r="U23" s="1" t="n">
        <f aca="false">1+U22</f>
        <v>14</v>
      </c>
      <c r="V23" s="1" t="n">
        <v>3</v>
      </c>
      <c r="W23" s="1" t="n">
        <v>1</v>
      </c>
      <c r="X23" s="1" t="n">
        <v>1</v>
      </c>
      <c r="Y23" s="1" t="s">
        <v>376</v>
      </c>
      <c r="Z23" s="1"/>
      <c r="AA23" s="6"/>
      <c r="AB23" s="7" t="s">
        <v>151</v>
      </c>
      <c r="AC23" s="7" t="n">
        <f aca="false">SUM(AC17:AC22)</f>
        <v>44</v>
      </c>
      <c r="AD23" s="7" t="n">
        <f aca="false">SUM(AD17:AD22)</f>
        <v>156</v>
      </c>
      <c r="AF23" s="0" t="n">
        <f aca="false">AF22+1</f>
        <v>14</v>
      </c>
      <c r="AG23" s="0" t="n">
        <v>0</v>
      </c>
      <c r="AH23" s="0" t="n">
        <v>1</v>
      </c>
      <c r="AI23" s="1" t="s">
        <v>378</v>
      </c>
      <c r="AK23" s="64" t="s">
        <v>390</v>
      </c>
    </row>
    <row r="24" customFormat="false" ht="17.55" hidden="false" customHeight="true" outlineLevel="0" collapsed="false">
      <c r="A24" s="1" t="n">
        <f aca="false">1+A23</f>
        <v>15</v>
      </c>
      <c r="B24" s="1" t="n">
        <v>3</v>
      </c>
      <c r="C24" s="1" t="n">
        <v>1</v>
      </c>
      <c r="D24" s="7" t="n">
        <v>1</v>
      </c>
      <c r="E24" s="1" t="s">
        <v>374</v>
      </c>
      <c r="G24" s="1" t="n">
        <f aca="false">1+G23</f>
        <v>15</v>
      </c>
      <c r="H24" s="1" t="n">
        <v>4</v>
      </c>
      <c r="I24" s="1" t="n">
        <v>1</v>
      </c>
      <c r="J24" s="7" t="n">
        <v>1</v>
      </c>
      <c r="K24" s="1" t="s">
        <v>375</v>
      </c>
      <c r="M24" s="67"/>
      <c r="N24" s="31"/>
      <c r="U24" s="1" t="n">
        <f aca="false">1+U23</f>
        <v>15</v>
      </c>
      <c r="V24" s="1" t="n">
        <v>3</v>
      </c>
      <c r="W24" s="1" t="n">
        <v>1</v>
      </c>
      <c r="X24" s="1" t="n">
        <v>1</v>
      </c>
      <c r="Y24" s="1" t="s">
        <v>376</v>
      </c>
      <c r="Z24" s="1"/>
      <c r="AA24" s="6"/>
      <c r="AB24" s="1"/>
      <c r="AC24" s="1"/>
      <c r="AD24" s="1" t="n">
        <f aca="false">AD23/AC23</f>
        <v>3.54545454545455</v>
      </c>
      <c r="AF24" s="0" t="n">
        <f aca="false">AF23+1</f>
        <v>15</v>
      </c>
      <c r="AG24" s="0" t="n">
        <v>0</v>
      </c>
      <c r="AH24" s="0" t="n">
        <v>1</v>
      </c>
      <c r="AI24" s="1" t="s">
        <v>378</v>
      </c>
    </row>
    <row r="25" customFormat="false" ht="14.1" hidden="false" customHeight="true" outlineLevel="0" collapsed="false">
      <c r="A25" s="1" t="n">
        <f aca="false">1+A24</f>
        <v>16</v>
      </c>
      <c r="B25" s="1" t="n">
        <v>4</v>
      </c>
      <c r="C25" s="1" t="n">
        <v>1</v>
      </c>
      <c r="D25" s="7" t="n">
        <v>1</v>
      </c>
      <c r="E25" s="1" t="s">
        <v>374</v>
      </c>
      <c r="G25" s="1" t="n">
        <f aca="false">1+G24</f>
        <v>16</v>
      </c>
      <c r="H25" s="1" t="n">
        <v>4</v>
      </c>
      <c r="I25" s="1" t="n">
        <v>1</v>
      </c>
      <c r="J25" s="7" t="n">
        <v>1</v>
      </c>
      <c r="K25" s="1" t="s">
        <v>375</v>
      </c>
      <c r="M25" s="41"/>
      <c r="N25" s="31"/>
      <c r="U25" s="1" t="n">
        <f aca="false">1+U24</f>
        <v>16</v>
      </c>
      <c r="V25" s="1" t="n">
        <v>3</v>
      </c>
      <c r="W25" s="1" t="n">
        <v>1</v>
      </c>
      <c r="X25" s="1" t="n">
        <v>1</v>
      </c>
      <c r="Y25" s="1" t="s">
        <v>376</v>
      </c>
      <c r="Z25" s="1"/>
      <c r="AF25" s="0" t="n">
        <f aca="false">AF24+1</f>
        <v>16</v>
      </c>
      <c r="AG25" s="0" t="n">
        <v>0</v>
      </c>
      <c r="AH25" s="0" t="n">
        <v>1</v>
      </c>
      <c r="AI25" s="1" t="s">
        <v>378</v>
      </c>
      <c r="AK25" s="68" t="n">
        <f aca="false">AK21/$AK$55</f>
        <v>0.634710743801653</v>
      </c>
      <c r="AL25" s="68" t="n">
        <f aca="false">AL21/$AK$55</f>
        <v>1.15597417247979</v>
      </c>
      <c r="AM25" s="5" t="s">
        <v>391</v>
      </c>
    </row>
    <row r="26" customFormat="false" ht="14.1" hidden="false" customHeight="true" outlineLevel="0" collapsed="false">
      <c r="A26" s="1" t="n">
        <f aca="false">1+A25</f>
        <v>17</v>
      </c>
      <c r="B26" s="1" t="n">
        <v>4</v>
      </c>
      <c r="C26" s="1" t="n">
        <v>1</v>
      </c>
      <c r="D26" s="7" t="n">
        <v>1</v>
      </c>
      <c r="E26" s="1" t="s">
        <v>374</v>
      </c>
      <c r="G26" s="1" t="n">
        <f aca="false">1+G25</f>
        <v>17</v>
      </c>
      <c r="H26" s="1" t="n">
        <v>5</v>
      </c>
      <c r="I26" s="1" t="n">
        <v>1</v>
      </c>
      <c r="J26" s="7" t="n">
        <v>1</v>
      </c>
      <c r="K26" s="1" t="s">
        <v>375</v>
      </c>
      <c r="M26" s="41"/>
      <c r="N26" s="31"/>
      <c r="U26" s="1" t="n">
        <f aca="false">1+U25</f>
        <v>17</v>
      </c>
      <c r="V26" s="1" t="n">
        <v>3</v>
      </c>
      <c r="W26" s="1" t="n">
        <v>1</v>
      </c>
      <c r="X26" s="1" t="n">
        <v>1</v>
      </c>
      <c r="Y26" s="1" t="s">
        <v>376</v>
      </c>
      <c r="Z26" s="1"/>
      <c r="AA26" s="6"/>
      <c r="AB26" s="7" t="s">
        <v>371</v>
      </c>
      <c r="AC26" s="7" t="s">
        <v>384</v>
      </c>
      <c r="AD26" s="1"/>
      <c r="AF26" s="0" t="n">
        <f aca="false">AF25+1</f>
        <v>17</v>
      </c>
      <c r="AG26" s="0" t="n">
        <v>0</v>
      </c>
      <c r="AH26" s="0" t="n">
        <v>1</v>
      </c>
      <c r="AI26" s="1" t="s">
        <v>378</v>
      </c>
    </row>
    <row r="27" customFormat="false" ht="14.1" hidden="false" customHeight="true" outlineLevel="0" collapsed="false">
      <c r="A27" s="1" t="n">
        <f aca="false">1+A26</f>
        <v>18</v>
      </c>
      <c r="B27" s="1" t="n">
        <v>4</v>
      </c>
      <c r="C27" s="1" t="n">
        <v>1</v>
      </c>
      <c r="D27" s="7" t="n">
        <v>1</v>
      </c>
      <c r="E27" s="1" t="s">
        <v>374</v>
      </c>
      <c r="G27" s="1" t="n">
        <f aca="false">1+G26</f>
        <v>18</v>
      </c>
      <c r="H27" s="1" t="n">
        <v>5</v>
      </c>
      <c r="I27" s="1" t="n">
        <v>1</v>
      </c>
      <c r="J27" s="7" t="n">
        <v>1</v>
      </c>
      <c r="K27" s="1" t="s">
        <v>375</v>
      </c>
      <c r="M27" s="41"/>
      <c r="N27" s="31"/>
      <c r="U27" s="1" t="n">
        <f aca="false">1+U26</f>
        <v>18</v>
      </c>
      <c r="V27" s="1" t="n">
        <v>3</v>
      </c>
      <c r="W27" s="1" t="n">
        <v>1</v>
      </c>
      <c r="X27" s="1" t="n">
        <v>1</v>
      </c>
      <c r="Y27" s="1" t="s">
        <v>376</v>
      </c>
      <c r="Z27" s="1"/>
      <c r="AA27" s="6" t="s">
        <v>193</v>
      </c>
      <c r="AB27" s="1" t="n">
        <v>2</v>
      </c>
      <c r="AC27" s="1" t="n">
        <f aca="false">COUNTIF(V$55:V$134,AB27)</f>
        <v>2</v>
      </c>
      <c r="AD27" s="1" t="n">
        <f aca="false">AB27*AC27</f>
        <v>4</v>
      </c>
      <c r="AF27" s="0" t="n">
        <f aca="false">AF26+1</f>
        <v>18</v>
      </c>
      <c r="AG27" s="0" t="n">
        <v>0</v>
      </c>
      <c r="AH27" s="0" t="n">
        <v>1</v>
      </c>
      <c r="AI27" s="1" t="s">
        <v>378</v>
      </c>
    </row>
    <row r="28" customFormat="false" ht="14.1" hidden="false" customHeight="true" outlineLevel="0" collapsed="false">
      <c r="A28" s="1" t="n">
        <f aca="false">1+A27</f>
        <v>19</v>
      </c>
      <c r="B28" s="1" t="n">
        <v>4</v>
      </c>
      <c r="C28" s="1" t="n">
        <v>1</v>
      </c>
      <c r="D28" s="7" t="n">
        <v>1</v>
      </c>
      <c r="E28" s="1" t="s">
        <v>374</v>
      </c>
      <c r="G28" s="1" t="n">
        <f aca="false">1+G27</f>
        <v>19</v>
      </c>
      <c r="H28" s="1" t="n">
        <v>5</v>
      </c>
      <c r="I28" s="1" t="n">
        <v>1</v>
      </c>
      <c r="J28" s="7" t="n">
        <v>1</v>
      </c>
      <c r="K28" s="1" t="s">
        <v>375</v>
      </c>
      <c r="U28" s="1" t="n">
        <f aca="false">1+U27</f>
        <v>19</v>
      </c>
      <c r="V28" s="1" t="n">
        <v>3</v>
      </c>
      <c r="W28" s="1" t="n">
        <v>1</v>
      </c>
      <c r="X28" s="1" t="n">
        <v>1</v>
      </c>
      <c r="Y28" s="1" t="s">
        <v>376</v>
      </c>
      <c r="Z28" s="1"/>
      <c r="AB28" s="1" t="n">
        <v>3</v>
      </c>
      <c r="AC28" s="1" t="n">
        <f aca="false">COUNTIF(V$55:V$134,AB28)</f>
        <v>11</v>
      </c>
      <c r="AD28" s="1" t="n">
        <f aca="false">AB28*AC28</f>
        <v>33</v>
      </c>
      <c r="AF28" s="0" t="n">
        <f aca="false">AF27+1</f>
        <v>19</v>
      </c>
      <c r="AG28" s="0" t="n">
        <v>0</v>
      </c>
      <c r="AH28" s="0" t="n">
        <v>1</v>
      </c>
      <c r="AI28" s="1" t="s">
        <v>378</v>
      </c>
      <c r="AK28" s="64" t="s">
        <v>392</v>
      </c>
    </row>
    <row r="29" customFormat="false" ht="14.1" hidden="false" customHeight="true" outlineLevel="0" collapsed="false">
      <c r="A29" s="1" t="n">
        <f aca="false">1+A28</f>
        <v>20</v>
      </c>
      <c r="B29" s="1" t="n">
        <v>4</v>
      </c>
      <c r="C29" s="1" t="n">
        <v>1</v>
      </c>
      <c r="D29" s="7" t="n">
        <v>1</v>
      </c>
      <c r="E29" s="1" t="s">
        <v>374</v>
      </c>
      <c r="G29" s="1" t="n">
        <f aca="false">1+G28</f>
        <v>20</v>
      </c>
      <c r="H29" s="1" t="n">
        <v>5</v>
      </c>
      <c r="I29" s="1" t="n">
        <v>1</v>
      </c>
      <c r="J29" s="7" t="n">
        <v>1</v>
      </c>
      <c r="K29" s="1" t="s">
        <v>375</v>
      </c>
      <c r="U29" s="1" t="n">
        <f aca="false">1+U28</f>
        <v>20</v>
      </c>
      <c r="V29" s="1" t="n">
        <v>3</v>
      </c>
      <c r="W29" s="1" t="n">
        <v>1</v>
      </c>
      <c r="X29" s="1" t="n">
        <v>1</v>
      </c>
      <c r="Y29" s="1" t="s">
        <v>376</v>
      </c>
      <c r="Z29" s="1"/>
      <c r="AB29" s="1" t="n">
        <v>4</v>
      </c>
      <c r="AC29" s="1" t="n">
        <f aca="false">COUNTIF(V$55:V$134,AB29)</f>
        <v>38</v>
      </c>
      <c r="AD29" s="1" t="n">
        <f aca="false">AB29*AC29</f>
        <v>152</v>
      </c>
      <c r="AF29" s="0" t="n">
        <f aca="false">AF28+1</f>
        <v>20</v>
      </c>
      <c r="AG29" s="0" t="n">
        <v>0</v>
      </c>
      <c r="AH29" s="0" t="n">
        <v>1</v>
      </c>
      <c r="AI29" s="1" t="s">
        <v>378</v>
      </c>
      <c r="AK29" s="64" t="s">
        <v>393</v>
      </c>
    </row>
    <row r="30" customFormat="false" ht="14.1" hidden="false" customHeight="true" outlineLevel="0" collapsed="false">
      <c r="A30" s="1" t="n">
        <f aca="false">1+A29</f>
        <v>21</v>
      </c>
      <c r="B30" s="1" t="n">
        <v>4</v>
      </c>
      <c r="C30" s="1" t="n">
        <v>1</v>
      </c>
      <c r="D30" s="7" t="n">
        <v>1</v>
      </c>
      <c r="E30" s="1" t="s">
        <v>374</v>
      </c>
      <c r="G30" s="1" t="n">
        <f aca="false">1+G29</f>
        <v>21</v>
      </c>
      <c r="H30" s="1" t="n">
        <v>5</v>
      </c>
      <c r="I30" s="1" t="n">
        <v>1</v>
      </c>
      <c r="J30" s="7" t="n">
        <v>1</v>
      </c>
      <c r="K30" s="1" t="s">
        <v>375</v>
      </c>
      <c r="U30" s="1" t="n">
        <f aca="false">1+U29</f>
        <v>21</v>
      </c>
      <c r="V30" s="1" t="n">
        <v>3</v>
      </c>
      <c r="W30" s="1" t="n">
        <v>1</v>
      </c>
      <c r="X30" s="1" t="n">
        <v>1</v>
      </c>
      <c r="Y30" s="1" t="s">
        <v>376</v>
      </c>
      <c r="Z30" s="1"/>
      <c r="AB30" s="1" t="n">
        <v>5</v>
      </c>
      <c r="AC30" s="1" t="n">
        <f aca="false">COUNTIF(V$55:V$134,AB30)</f>
        <v>26</v>
      </c>
      <c r="AD30" s="1" t="n">
        <f aca="false">AB30*AC30</f>
        <v>130</v>
      </c>
      <c r="AF30" s="0" t="n">
        <f aca="false">AF29+1</f>
        <v>21</v>
      </c>
      <c r="AG30" s="0" t="n">
        <v>0</v>
      </c>
      <c r="AH30" s="0" t="n">
        <v>1</v>
      </c>
      <c r="AI30" s="1" t="s">
        <v>378</v>
      </c>
      <c r="AK30" s="64" t="s">
        <v>394</v>
      </c>
    </row>
    <row r="31" customFormat="false" ht="14.1" hidden="false" customHeight="true" outlineLevel="0" collapsed="false">
      <c r="A31" s="1" t="n">
        <f aca="false">1+A30</f>
        <v>22</v>
      </c>
      <c r="B31" s="1" t="n">
        <v>4</v>
      </c>
      <c r="C31" s="1" t="n">
        <v>1</v>
      </c>
      <c r="D31" s="7" t="n">
        <v>1</v>
      </c>
      <c r="E31" s="1" t="s">
        <v>374</v>
      </c>
      <c r="G31" s="1" t="n">
        <f aca="false">1+G30</f>
        <v>22</v>
      </c>
      <c r="H31" s="1" t="n">
        <v>6</v>
      </c>
      <c r="I31" s="1" t="n">
        <v>1</v>
      </c>
      <c r="J31" s="7" t="n">
        <v>1</v>
      </c>
      <c r="K31" s="1" t="s">
        <v>375</v>
      </c>
      <c r="U31" s="1" t="n">
        <f aca="false">1+U30</f>
        <v>22</v>
      </c>
      <c r="V31" s="1" t="n">
        <v>3</v>
      </c>
      <c r="W31" s="1" t="n">
        <v>1</v>
      </c>
      <c r="X31" s="1" t="n">
        <v>1</v>
      </c>
      <c r="Y31" s="1" t="s">
        <v>376</v>
      </c>
      <c r="Z31" s="1"/>
      <c r="AB31" s="1" t="n">
        <v>6</v>
      </c>
      <c r="AC31" s="1" t="n">
        <f aca="false">COUNTIF(V$55:V$134,AB31)</f>
        <v>3</v>
      </c>
      <c r="AD31" s="1" t="n">
        <f aca="false">AB31*AC31</f>
        <v>18</v>
      </c>
      <c r="AF31" s="0" t="n">
        <f aca="false">AF30+1</f>
        <v>22</v>
      </c>
      <c r="AG31" s="0" t="n">
        <v>0</v>
      </c>
      <c r="AH31" s="0" t="n">
        <v>1</v>
      </c>
      <c r="AI31" s="1" t="s">
        <v>378</v>
      </c>
    </row>
    <row r="32" customFormat="false" ht="14.1" hidden="false" customHeight="true" outlineLevel="0" collapsed="false">
      <c r="A32" s="1" t="n">
        <f aca="false">1+A31</f>
        <v>23</v>
      </c>
      <c r="B32" s="1" t="n">
        <v>4</v>
      </c>
      <c r="C32" s="1" t="n">
        <v>1</v>
      </c>
      <c r="D32" s="7" t="n">
        <v>1</v>
      </c>
      <c r="E32" s="1" t="s">
        <v>374</v>
      </c>
      <c r="G32" s="1" t="n">
        <f aca="false">1+G31</f>
        <v>23</v>
      </c>
      <c r="H32" s="1" t="n">
        <v>6</v>
      </c>
      <c r="I32" s="1" t="n">
        <v>1</v>
      </c>
      <c r="J32" s="7" t="n">
        <v>1</v>
      </c>
      <c r="K32" s="1" t="s">
        <v>375</v>
      </c>
      <c r="U32" s="1" t="n">
        <f aca="false">1+U31</f>
        <v>23</v>
      </c>
      <c r="V32" s="1" t="n">
        <v>3</v>
      </c>
      <c r="W32" s="1" t="n">
        <v>1</v>
      </c>
      <c r="X32" s="1" t="n">
        <v>1</v>
      </c>
      <c r="Y32" s="1" t="s">
        <v>376</v>
      </c>
      <c r="Z32" s="1"/>
      <c r="AB32" s="7" t="s">
        <v>151</v>
      </c>
      <c r="AC32" s="7" t="n">
        <f aca="false">SUM(AC27:AC31)</f>
        <v>80</v>
      </c>
      <c r="AD32" s="7" t="n">
        <f aca="false">SUM(AD27:AD31)</f>
        <v>337</v>
      </c>
      <c r="AF32" s="0" t="n">
        <f aca="false">AF31+1</f>
        <v>23</v>
      </c>
      <c r="AG32" s="0" t="n">
        <v>0</v>
      </c>
      <c r="AH32" s="0" t="n">
        <v>1</v>
      </c>
      <c r="AI32" s="1" t="s">
        <v>378</v>
      </c>
      <c r="AK32" s="1" t="n">
        <v>57</v>
      </c>
      <c r="AL32" s="1" t="n">
        <v>163</v>
      </c>
      <c r="AM32" s="0" t="s">
        <v>395</v>
      </c>
    </row>
    <row r="33" customFormat="false" ht="14.1" hidden="false" customHeight="true" outlineLevel="0" collapsed="false">
      <c r="A33" s="1" t="n">
        <f aca="false">1+A32</f>
        <v>24</v>
      </c>
      <c r="B33" s="1" t="n">
        <v>5</v>
      </c>
      <c r="C33" s="1" t="n">
        <v>1</v>
      </c>
      <c r="D33" s="7" t="n">
        <v>1</v>
      </c>
      <c r="E33" s="1" t="s">
        <v>374</v>
      </c>
      <c r="G33" s="1" t="n">
        <f aca="false">1+G32</f>
        <v>24</v>
      </c>
      <c r="H33" s="1" t="n">
        <v>6</v>
      </c>
      <c r="I33" s="1" t="n">
        <v>1</v>
      </c>
      <c r="J33" s="7" t="n">
        <v>1</v>
      </c>
      <c r="K33" s="1" t="s">
        <v>375</v>
      </c>
      <c r="U33" s="1" t="n">
        <f aca="false">1+U32</f>
        <v>24</v>
      </c>
      <c r="V33" s="1" t="n">
        <v>3</v>
      </c>
      <c r="W33" s="1" t="n">
        <v>1</v>
      </c>
      <c r="X33" s="1" t="n">
        <v>1</v>
      </c>
      <c r="Y33" s="1" t="s">
        <v>376</v>
      </c>
      <c r="Z33" s="1"/>
      <c r="AD33" s="1" t="n">
        <f aca="false">AD32/AC32</f>
        <v>4.2125</v>
      </c>
      <c r="AF33" s="0" t="n">
        <f aca="false">AF32+1</f>
        <v>24</v>
      </c>
      <c r="AG33" s="0" t="n">
        <v>0</v>
      </c>
      <c r="AH33" s="0" t="n">
        <v>1</v>
      </c>
      <c r="AI33" s="1" t="s">
        <v>378</v>
      </c>
      <c r="AM33" s="0" t="s">
        <v>396</v>
      </c>
    </row>
    <row r="34" customFormat="false" ht="14.1" hidden="false" customHeight="true" outlineLevel="0" collapsed="false">
      <c r="A34" s="1" t="n">
        <f aca="false">1+A33</f>
        <v>25</v>
      </c>
      <c r="B34" s="1" t="n">
        <v>5</v>
      </c>
      <c r="C34" s="1" t="n">
        <v>1</v>
      </c>
      <c r="D34" s="7" t="n">
        <v>1</v>
      </c>
      <c r="E34" s="1" t="s">
        <v>374</v>
      </c>
      <c r="G34" s="1" t="n">
        <f aca="false">1+G33</f>
        <v>25</v>
      </c>
      <c r="H34" s="1" t="n">
        <v>7</v>
      </c>
      <c r="I34" s="1" t="n">
        <v>1</v>
      </c>
      <c r="J34" s="7" t="n">
        <v>1</v>
      </c>
      <c r="K34" s="1" t="s">
        <v>375</v>
      </c>
      <c r="U34" s="1" t="n">
        <f aca="false">1+U33</f>
        <v>25</v>
      </c>
      <c r="V34" s="1" t="n">
        <v>3</v>
      </c>
      <c r="W34" s="1" t="n">
        <v>1</v>
      </c>
      <c r="X34" s="1" t="n">
        <v>1</v>
      </c>
      <c r="Y34" s="1" t="s">
        <v>376</v>
      </c>
      <c r="Z34" s="1"/>
      <c r="AA34" s="1"/>
      <c r="AB34" s="1"/>
      <c r="AC34" s="1"/>
      <c r="AD34" s="1"/>
      <c r="AF34" s="0" t="n">
        <f aca="false">AF33+1</f>
        <v>25</v>
      </c>
      <c r="AG34" s="0" t="n">
        <v>0</v>
      </c>
      <c r="AH34" s="0" t="n">
        <v>1</v>
      </c>
      <c r="AI34" s="1" t="s">
        <v>378</v>
      </c>
    </row>
    <row r="35" customFormat="false" ht="14.1" hidden="false" customHeight="true" outlineLevel="0" collapsed="false">
      <c r="A35" s="1" t="n">
        <f aca="false">1+A34</f>
        <v>26</v>
      </c>
      <c r="B35" s="1" t="n">
        <v>5</v>
      </c>
      <c r="C35" s="1" t="n">
        <v>1</v>
      </c>
      <c r="D35" s="7" t="n">
        <v>1</v>
      </c>
      <c r="E35" s="1" t="s">
        <v>374</v>
      </c>
      <c r="G35" s="1" t="n">
        <f aca="false">1+G34</f>
        <v>26</v>
      </c>
      <c r="H35" s="1" t="n">
        <v>7</v>
      </c>
      <c r="I35" s="1" t="n">
        <v>1</v>
      </c>
      <c r="J35" s="7" t="n">
        <v>1</v>
      </c>
      <c r="K35" s="1" t="s">
        <v>375</v>
      </c>
      <c r="U35" s="1" t="n">
        <f aca="false">1+U34</f>
        <v>26</v>
      </c>
      <c r="V35" s="1" t="n">
        <v>4</v>
      </c>
      <c r="W35" s="1" t="n">
        <v>1</v>
      </c>
      <c r="X35" s="1" t="n">
        <v>1</v>
      </c>
      <c r="Y35" s="1" t="s">
        <v>376</v>
      </c>
      <c r="Z35" s="1"/>
      <c r="AA35" s="1"/>
      <c r="AB35" s="1"/>
      <c r="AC35" s="1"/>
      <c r="AD35" s="1"/>
      <c r="AF35" s="0" t="n">
        <f aca="false">AF34+1</f>
        <v>26</v>
      </c>
      <c r="AG35" s="0" t="n">
        <v>0</v>
      </c>
      <c r="AH35" s="0" t="n">
        <v>1</v>
      </c>
      <c r="AI35" s="1" t="s">
        <v>378</v>
      </c>
    </row>
    <row r="36" customFormat="false" ht="14.1" hidden="false" customHeight="true" outlineLevel="0" collapsed="false">
      <c r="A36" s="1" t="n">
        <f aca="false">1+A35</f>
        <v>27</v>
      </c>
      <c r="B36" s="1" t="n">
        <v>6</v>
      </c>
      <c r="C36" s="1" t="n">
        <v>1</v>
      </c>
      <c r="D36" s="7" t="n">
        <v>1</v>
      </c>
      <c r="E36" s="1" t="s">
        <v>374</v>
      </c>
      <c r="G36" s="1" t="n">
        <f aca="false">1+G35</f>
        <v>27</v>
      </c>
      <c r="H36" s="1" t="n">
        <v>7</v>
      </c>
      <c r="I36" s="1" t="n">
        <v>1</v>
      </c>
      <c r="J36" s="7" t="n">
        <v>1</v>
      </c>
      <c r="K36" s="1" t="s">
        <v>375</v>
      </c>
      <c r="U36" s="1" t="n">
        <f aca="false">1+U35</f>
        <v>27</v>
      </c>
      <c r="V36" s="1" t="n">
        <v>4</v>
      </c>
      <c r="W36" s="1" t="n">
        <v>1</v>
      </c>
      <c r="X36" s="1" t="n">
        <v>1</v>
      </c>
      <c r="Y36" s="1" t="s">
        <v>376</v>
      </c>
      <c r="Z36" s="1"/>
      <c r="AA36" s="1"/>
      <c r="AB36" s="1"/>
      <c r="AC36" s="1"/>
      <c r="AD36" s="1"/>
      <c r="AF36" s="0" t="n">
        <f aca="false">AF35+1</f>
        <v>27</v>
      </c>
      <c r="AG36" s="0" t="n">
        <v>0</v>
      </c>
      <c r="AH36" s="0" t="n">
        <v>1</v>
      </c>
      <c r="AI36" s="1" t="s">
        <v>378</v>
      </c>
    </row>
    <row r="37" customFormat="false" ht="14.1" hidden="false" customHeight="true" outlineLevel="0" collapsed="false">
      <c r="A37" s="1" t="n">
        <f aca="false">1+A36</f>
        <v>28</v>
      </c>
      <c r="B37" s="1" t="n">
        <v>6</v>
      </c>
      <c r="C37" s="1" t="n">
        <v>1</v>
      </c>
      <c r="D37" s="7" t="n">
        <v>1</v>
      </c>
      <c r="E37" s="1" t="s">
        <v>374</v>
      </c>
      <c r="G37" s="1" t="n">
        <f aca="false">1+G36</f>
        <v>28</v>
      </c>
      <c r="H37" s="1" t="n">
        <v>7</v>
      </c>
      <c r="I37" s="1" t="n">
        <v>1</v>
      </c>
      <c r="J37" s="7" t="n">
        <v>1</v>
      </c>
      <c r="K37" s="1" t="s">
        <v>375</v>
      </c>
      <c r="U37" s="1" t="n">
        <f aca="false">1+U36</f>
        <v>28</v>
      </c>
      <c r="V37" s="1" t="n">
        <v>4</v>
      </c>
      <c r="W37" s="1" t="n">
        <v>1</v>
      </c>
      <c r="X37" s="1" t="n">
        <v>1</v>
      </c>
      <c r="Y37" s="1" t="s">
        <v>376</v>
      </c>
      <c r="Z37" s="1"/>
      <c r="AA37" s="1"/>
      <c r="AB37" s="1"/>
      <c r="AC37" s="1"/>
      <c r="AD37" s="1"/>
      <c r="AF37" s="0" t="n">
        <f aca="false">AF36+1</f>
        <v>28</v>
      </c>
      <c r="AG37" s="0" t="n">
        <v>0</v>
      </c>
      <c r="AH37" s="0" t="n">
        <v>1</v>
      </c>
      <c r="AI37" s="1" t="s">
        <v>378</v>
      </c>
    </row>
    <row r="38" customFormat="false" ht="14.1" hidden="false" customHeight="true" outlineLevel="0" collapsed="false">
      <c r="A38" s="1" t="n">
        <f aca="false">1+A37</f>
        <v>29</v>
      </c>
      <c r="B38" s="1" t="n">
        <v>6</v>
      </c>
      <c r="C38" s="1" t="n">
        <v>1</v>
      </c>
      <c r="D38" s="7" t="n">
        <v>1</v>
      </c>
      <c r="E38" s="1" t="s">
        <v>374</v>
      </c>
      <c r="G38" s="1" t="n">
        <f aca="false">1+G37</f>
        <v>29</v>
      </c>
      <c r="H38" s="1" t="n">
        <v>7</v>
      </c>
      <c r="I38" s="1" t="n">
        <v>1</v>
      </c>
      <c r="J38" s="7" t="n">
        <v>1</v>
      </c>
      <c r="K38" s="1" t="s">
        <v>375</v>
      </c>
      <c r="U38" s="1" t="n">
        <f aca="false">1+U37</f>
        <v>29</v>
      </c>
      <c r="V38" s="1" t="n">
        <v>4</v>
      </c>
      <c r="W38" s="1" t="n">
        <v>1</v>
      </c>
      <c r="X38" s="1" t="n">
        <v>1</v>
      </c>
      <c r="Y38" s="1" t="s">
        <v>376</v>
      </c>
      <c r="Z38" s="1"/>
      <c r="AA38" s="1"/>
      <c r="AB38" s="1"/>
      <c r="AC38" s="1"/>
      <c r="AD38" s="1"/>
      <c r="AF38" s="0" t="n">
        <f aca="false">AF37+1</f>
        <v>29</v>
      </c>
      <c r="AG38" s="0" t="n">
        <v>0</v>
      </c>
      <c r="AH38" s="0" t="n">
        <v>1</v>
      </c>
      <c r="AI38" s="1" t="s">
        <v>378</v>
      </c>
    </row>
    <row r="39" customFormat="false" ht="14.1" hidden="false" customHeight="true" outlineLevel="0" collapsed="false">
      <c r="A39" s="1" t="n">
        <f aca="false">1+A38</f>
        <v>30</v>
      </c>
      <c r="B39" s="1" t="n">
        <v>7</v>
      </c>
      <c r="C39" s="1" t="n">
        <v>1</v>
      </c>
      <c r="D39" s="7" t="n">
        <v>1</v>
      </c>
      <c r="E39" s="1" t="s">
        <v>374</v>
      </c>
      <c r="G39" s="1" t="n">
        <f aca="false">1+G38</f>
        <v>30</v>
      </c>
      <c r="H39" s="1" t="n">
        <v>7</v>
      </c>
      <c r="I39" s="1" t="n">
        <v>1</v>
      </c>
      <c r="J39" s="7" t="n">
        <v>1</v>
      </c>
      <c r="K39" s="1" t="s">
        <v>375</v>
      </c>
      <c r="U39" s="1" t="n">
        <f aca="false">1+U38</f>
        <v>30</v>
      </c>
      <c r="V39" s="1" t="n">
        <v>4</v>
      </c>
      <c r="W39" s="1" t="n">
        <v>1</v>
      </c>
      <c r="X39" s="1" t="n">
        <v>1</v>
      </c>
      <c r="Y39" s="1" t="s">
        <v>376</v>
      </c>
      <c r="Z39" s="1"/>
      <c r="AA39" s="1"/>
      <c r="AB39" s="1"/>
      <c r="AC39" s="1"/>
      <c r="AD39" s="1"/>
      <c r="AF39" s="0" t="n">
        <f aca="false">AF38+1</f>
        <v>30</v>
      </c>
      <c r="AG39" s="0" t="n">
        <v>0</v>
      </c>
      <c r="AH39" s="0" t="n">
        <v>1</v>
      </c>
      <c r="AI39" s="1" t="s">
        <v>378</v>
      </c>
    </row>
    <row r="40" customFormat="false" ht="14.1" hidden="false" customHeight="true" outlineLevel="0" collapsed="false">
      <c r="A40" s="1" t="n">
        <f aca="false">1+A39</f>
        <v>31</v>
      </c>
      <c r="B40" s="1" t="n">
        <v>8</v>
      </c>
      <c r="C40" s="1" t="n">
        <v>1</v>
      </c>
      <c r="D40" s="7" t="n">
        <v>1</v>
      </c>
      <c r="E40" s="1" t="s">
        <v>374</v>
      </c>
      <c r="G40" s="1" t="n">
        <f aca="false">1+G39</f>
        <v>31</v>
      </c>
      <c r="H40" s="1" t="n">
        <v>7</v>
      </c>
      <c r="I40" s="1" t="n">
        <v>1</v>
      </c>
      <c r="J40" s="7" t="n">
        <v>1</v>
      </c>
      <c r="K40" s="1" t="s">
        <v>375</v>
      </c>
      <c r="U40" s="1" t="n">
        <f aca="false">1+U39</f>
        <v>31</v>
      </c>
      <c r="V40" s="1" t="n">
        <v>4</v>
      </c>
      <c r="W40" s="1" t="n">
        <v>1</v>
      </c>
      <c r="X40" s="1" t="n">
        <v>1</v>
      </c>
      <c r="Y40" s="1" t="s">
        <v>376</v>
      </c>
      <c r="Z40" s="1"/>
      <c r="AA40" s="1"/>
      <c r="AB40" s="1"/>
      <c r="AC40" s="1"/>
      <c r="AD40" s="1"/>
    </row>
    <row r="41" customFormat="false" ht="14.1" hidden="false" customHeight="true" outlineLevel="0" collapsed="false">
      <c r="A41" s="1" t="n">
        <f aca="false">1+A40</f>
        <v>32</v>
      </c>
      <c r="B41" s="1" t="n">
        <v>10</v>
      </c>
      <c r="C41" s="1" t="n">
        <v>1</v>
      </c>
      <c r="D41" s="7" t="n">
        <v>1</v>
      </c>
      <c r="E41" s="1" t="s">
        <v>374</v>
      </c>
      <c r="G41" s="1" t="n">
        <f aca="false">1+G40</f>
        <v>32</v>
      </c>
      <c r="H41" s="1" t="n">
        <v>8</v>
      </c>
      <c r="I41" s="1" t="n">
        <v>1</v>
      </c>
      <c r="J41" s="7" t="n">
        <v>1</v>
      </c>
      <c r="K41" s="1" t="s">
        <v>375</v>
      </c>
      <c r="U41" s="1" t="n">
        <f aca="false">1+U40</f>
        <v>32</v>
      </c>
      <c r="V41" s="1" t="n">
        <v>4</v>
      </c>
      <c r="W41" s="1" t="n">
        <v>1</v>
      </c>
      <c r="X41" s="1" t="n">
        <v>1</v>
      </c>
      <c r="Y41" s="1" t="s">
        <v>376</v>
      </c>
      <c r="Z41" s="1"/>
      <c r="AA41" s="1"/>
      <c r="AB41" s="1"/>
      <c r="AC41" s="1"/>
      <c r="AD41" s="1"/>
    </row>
    <row r="42" customFormat="false" ht="14.1" hidden="false" customHeight="true" outlineLevel="0" collapsed="false">
      <c r="G42" s="1" t="n">
        <f aca="false">1+G41</f>
        <v>33</v>
      </c>
      <c r="H42" s="1" t="n">
        <v>9</v>
      </c>
      <c r="I42" s="1" t="n">
        <v>1</v>
      </c>
      <c r="J42" s="7" t="n">
        <v>1</v>
      </c>
      <c r="K42" s="1" t="s">
        <v>375</v>
      </c>
      <c r="U42" s="1" t="n">
        <f aca="false">1+U41</f>
        <v>33</v>
      </c>
      <c r="V42" s="1" t="n">
        <v>4</v>
      </c>
      <c r="W42" s="1" t="n">
        <v>1</v>
      </c>
      <c r="X42" s="1" t="n">
        <v>1</v>
      </c>
      <c r="Y42" s="1" t="s">
        <v>376</v>
      </c>
      <c r="Z42" s="1"/>
      <c r="AA42" s="1"/>
      <c r="AB42" s="1"/>
      <c r="AC42" s="1"/>
      <c r="AD42" s="1"/>
    </row>
    <row r="43" customFormat="false" ht="14.1" hidden="false" customHeight="true" outlineLevel="0" collapsed="false">
      <c r="A43" s="1" t="n">
        <v>1</v>
      </c>
      <c r="B43" s="1" t="n">
        <v>1</v>
      </c>
      <c r="C43" s="1" t="n">
        <v>1</v>
      </c>
      <c r="D43" s="1" t="n">
        <v>0</v>
      </c>
      <c r="E43" s="1" t="s">
        <v>374</v>
      </c>
      <c r="G43" s="1" t="n">
        <f aca="false">1+G42</f>
        <v>34</v>
      </c>
      <c r="H43" s="1" t="n">
        <v>10</v>
      </c>
      <c r="I43" s="1" t="n">
        <v>1</v>
      </c>
      <c r="J43" s="7" t="n">
        <v>1</v>
      </c>
      <c r="K43" s="1" t="s">
        <v>375</v>
      </c>
      <c r="U43" s="1" t="n">
        <f aca="false">1+U42</f>
        <v>34</v>
      </c>
      <c r="V43" s="1" t="n">
        <v>4</v>
      </c>
      <c r="W43" s="1" t="n">
        <v>1</v>
      </c>
      <c r="X43" s="1" t="n">
        <v>1</v>
      </c>
      <c r="Y43" s="1" t="s">
        <v>376</v>
      </c>
      <c r="Z43" s="1"/>
      <c r="AA43" s="1"/>
      <c r="AB43" s="1"/>
      <c r="AC43" s="1"/>
      <c r="AD43" s="1"/>
    </row>
    <row r="44" customFormat="false" ht="14.1" hidden="false" customHeight="true" outlineLevel="0" collapsed="false">
      <c r="A44" s="1" t="n">
        <f aca="false">1+A43</f>
        <v>2</v>
      </c>
      <c r="B44" s="1" t="n">
        <v>2</v>
      </c>
      <c r="C44" s="1" t="n">
        <v>1</v>
      </c>
      <c r="D44" s="1" t="n">
        <v>0</v>
      </c>
      <c r="E44" s="1" t="s">
        <v>374</v>
      </c>
      <c r="G44" s="1" t="n">
        <f aca="false">1+G43</f>
        <v>35</v>
      </c>
      <c r="H44" s="1" t="n">
        <v>11</v>
      </c>
      <c r="I44" s="1" t="n">
        <v>0</v>
      </c>
      <c r="J44" s="7" t="n">
        <v>1</v>
      </c>
      <c r="K44" s="1" t="s">
        <v>375</v>
      </c>
      <c r="U44" s="1" t="n">
        <f aca="false">1+U43</f>
        <v>35</v>
      </c>
      <c r="V44" s="1" t="n">
        <v>4</v>
      </c>
      <c r="W44" s="1" t="n">
        <v>1</v>
      </c>
      <c r="X44" s="1" t="n">
        <v>1</v>
      </c>
      <c r="Y44" s="1" t="s">
        <v>376</v>
      </c>
      <c r="Z44" s="1"/>
      <c r="AA44" s="1"/>
      <c r="AB44" s="1"/>
      <c r="AC44" s="1"/>
      <c r="AD44" s="1"/>
      <c r="AF44" s="7" t="n">
        <v>1</v>
      </c>
      <c r="AG44" s="60" t="n">
        <f aca="false">AK$45+AK$47</f>
        <v>2.79673</v>
      </c>
      <c r="AH44" s="0" t="n">
        <v>0</v>
      </c>
      <c r="AI44" s="1" t="s">
        <v>378</v>
      </c>
      <c r="AK44" s="7" t="s">
        <v>251</v>
      </c>
      <c r="AL44" s="7" t="s">
        <v>292</v>
      </c>
    </row>
    <row r="45" customFormat="false" ht="14.1" hidden="false" customHeight="true" outlineLevel="0" collapsed="false">
      <c r="A45" s="1" t="n">
        <f aca="false">1+A44</f>
        <v>3</v>
      </c>
      <c r="B45" s="1" t="n">
        <v>2</v>
      </c>
      <c r="C45" s="1" t="n">
        <v>1</v>
      </c>
      <c r="D45" s="1" t="n">
        <v>0</v>
      </c>
      <c r="E45" s="1" t="s">
        <v>374</v>
      </c>
      <c r="G45" s="1" t="n">
        <f aca="false">1+G44</f>
        <v>36</v>
      </c>
      <c r="H45" s="1" t="n">
        <v>11</v>
      </c>
      <c r="I45" s="1" t="n">
        <v>0</v>
      </c>
      <c r="J45" s="7" t="n">
        <v>1</v>
      </c>
      <c r="K45" s="1" t="s">
        <v>375</v>
      </c>
      <c r="U45" s="1" t="n">
        <f aca="false">1+U44</f>
        <v>36</v>
      </c>
      <c r="V45" s="1" t="n">
        <v>4</v>
      </c>
      <c r="W45" s="1" t="n">
        <v>1</v>
      </c>
      <c r="X45" s="1" t="n">
        <v>1</v>
      </c>
      <c r="Y45" s="1" t="s">
        <v>376</v>
      </c>
      <c r="Z45" s="1"/>
      <c r="AA45" s="1"/>
      <c r="AB45" s="1"/>
      <c r="AC45" s="1"/>
      <c r="AD45" s="1"/>
      <c r="AF45" s="7" t="n">
        <f aca="false">AF44+1</f>
        <v>2</v>
      </c>
      <c r="AG45" s="60" t="n">
        <f aca="false">AK$45-AK$47</f>
        <v>1.60327</v>
      </c>
      <c r="AH45" s="0" t="n">
        <v>0</v>
      </c>
      <c r="AI45" s="1" t="s">
        <v>378</v>
      </c>
      <c r="AK45" s="62" t="n">
        <f aca="false">'Calculations 2'!J21</f>
        <v>2.2</v>
      </c>
      <c r="AL45" s="65" t="n">
        <f aca="false">'Calculations 2'!G20</f>
        <v>0.596726915784708</v>
      </c>
      <c r="AM45" s="0" t="s">
        <v>397</v>
      </c>
    </row>
    <row r="46" customFormat="false" ht="14.1" hidden="false" customHeight="true" outlineLevel="0" collapsed="false">
      <c r="A46" s="1" t="n">
        <f aca="false">1+A45</f>
        <v>4</v>
      </c>
      <c r="B46" s="1" t="n">
        <v>3</v>
      </c>
      <c r="C46" s="1" t="n">
        <v>1</v>
      </c>
      <c r="D46" s="1" t="n">
        <v>0</v>
      </c>
      <c r="E46" s="1" t="s">
        <v>374</v>
      </c>
      <c r="G46" s="1" t="n">
        <f aca="false">1+G45</f>
        <v>37</v>
      </c>
      <c r="H46" s="1" t="n">
        <v>11</v>
      </c>
      <c r="I46" s="1" t="n">
        <v>0</v>
      </c>
      <c r="J46" s="7" t="n">
        <v>1</v>
      </c>
      <c r="K46" s="1" t="s">
        <v>375</v>
      </c>
      <c r="U46" s="1" t="n">
        <f aca="false">1+U45</f>
        <v>37</v>
      </c>
      <c r="V46" s="1" t="n">
        <v>4</v>
      </c>
      <c r="W46" s="1" t="n">
        <v>1</v>
      </c>
      <c r="X46" s="1" t="n">
        <v>1</v>
      </c>
      <c r="Y46" s="1" t="s">
        <v>376</v>
      </c>
      <c r="Z46" s="1"/>
      <c r="AA46" s="1"/>
      <c r="AB46" s="1"/>
      <c r="AC46" s="1"/>
      <c r="AD46" s="1"/>
      <c r="AF46" s="7" t="n">
        <f aca="false">AF45+1</f>
        <v>3</v>
      </c>
      <c r="AG46" s="60" t="n">
        <f aca="false">AK$45+AK$47</f>
        <v>2.79673</v>
      </c>
      <c r="AH46" s="0" t="n">
        <v>0</v>
      </c>
      <c r="AI46" s="1" t="s">
        <v>378</v>
      </c>
    </row>
    <row r="47" customFormat="false" ht="14.1" hidden="false" customHeight="true" outlineLevel="0" collapsed="false">
      <c r="A47" s="1" t="n">
        <f aca="false">1+A46</f>
        <v>5</v>
      </c>
      <c r="B47" s="1" t="n">
        <v>3</v>
      </c>
      <c r="C47" s="1" t="n">
        <v>1</v>
      </c>
      <c r="D47" s="1" t="n">
        <v>0</v>
      </c>
      <c r="E47" s="1" t="s">
        <v>374</v>
      </c>
      <c r="G47" s="1" t="n">
        <f aca="false">1+G46</f>
        <v>38</v>
      </c>
      <c r="H47" s="1" t="n">
        <v>11</v>
      </c>
      <c r="I47" s="1" t="n">
        <v>0</v>
      </c>
      <c r="J47" s="7" t="n">
        <v>1</v>
      </c>
      <c r="K47" s="1" t="s">
        <v>375</v>
      </c>
      <c r="U47" s="1" t="n">
        <f aca="false">1+U46</f>
        <v>38</v>
      </c>
      <c r="V47" s="1" t="n">
        <v>5</v>
      </c>
      <c r="W47" s="1" t="n">
        <v>1</v>
      </c>
      <c r="X47" s="1" t="n">
        <v>1</v>
      </c>
      <c r="Y47" s="1" t="s">
        <v>376</v>
      </c>
      <c r="Z47" s="1"/>
      <c r="AA47" s="1"/>
      <c r="AB47" s="1"/>
      <c r="AC47" s="1"/>
      <c r="AD47" s="1"/>
      <c r="AF47" s="7" t="n">
        <f aca="false">AF46+1</f>
        <v>4</v>
      </c>
      <c r="AG47" s="60" t="n">
        <f aca="false">AK$45-AK$47</f>
        <v>1.60327</v>
      </c>
      <c r="AH47" s="0" t="n">
        <v>0</v>
      </c>
      <c r="AI47" s="1" t="s">
        <v>378</v>
      </c>
      <c r="AK47" s="62" t="n">
        <v>0.59673</v>
      </c>
      <c r="AL47" s="64" t="s">
        <v>398</v>
      </c>
    </row>
    <row r="48" customFormat="false" ht="14.1" hidden="false" customHeight="true" outlineLevel="0" collapsed="false">
      <c r="A48" s="1" t="n">
        <f aca="false">1+A47</f>
        <v>6</v>
      </c>
      <c r="B48" s="1" t="n">
        <v>3</v>
      </c>
      <c r="C48" s="1" t="n">
        <v>1</v>
      </c>
      <c r="D48" s="1" t="n">
        <v>0</v>
      </c>
      <c r="E48" s="1" t="s">
        <v>374</v>
      </c>
      <c r="G48" s="1" t="n">
        <f aca="false">1+G47</f>
        <v>39</v>
      </c>
      <c r="H48" s="1" t="n">
        <v>11</v>
      </c>
      <c r="I48" s="1" t="n">
        <v>0</v>
      </c>
      <c r="J48" s="7" t="n">
        <v>1</v>
      </c>
      <c r="K48" s="1" t="s">
        <v>375</v>
      </c>
      <c r="U48" s="1" t="n">
        <f aca="false">1+U47</f>
        <v>39</v>
      </c>
      <c r="V48" s="1" t="n">
        <v>5</v>
      </c>
      <c r="W48" s="1" t="n">
        <v>1</v>
      </c>
      <c r="X48" s="1" t="n">
        <v>1</v>
      </c>
      <c r="Y48" s="1" t="s">
        <v>376</v>
      </c>
      <c r="Z48" s="1"/>
      <c r="AA48" s="1"/>
      <c r="AB48" s="1"/>
      <c r="AC48" s="1"/>
      <c r="AD48" s="1"/>
      <c r="AF48" s="7" t="n">
        <f aca="false">AF47+1</f>
        <v>5</v>
      </c>
      <c r="AG48" s="60" t="n">
        <f aca="false">AK$45+AK$47</f>
        <v>2.79673</v>
      </c>
      <c r="AH48" s="0" t="n">
        <v>0</v>
      </c>
      <c r="AI48" s="1" t="s">
        <v>378</v>
      </c>
    </row>
    <row r="49" customFormat="false" ht="14.1" hidden="false" customHeight="true" outlineLevel="0" collapsed="false">
      <c r="A49" s="1" t="n">
        <f aca="false">1+A48</f>
        <v>7</v>
      </c>
      <c r="B49" s="1" t="n">
        <v>4</v>
      </c>
      <c r="C49" s="1" t="n">
        <v>1</v>
      </c>
      <c r="D49" s="1" t="n">
        <v>0</v>
      </c>
      <c r="E49" s="1" t="s">
        <v>374</v>
      </c>
      <c r="U49" s="1" t="n">
        <f aca="false">1+U48</f>
        <v>40</v>
      </c>
      <c r="V49" s="1" t="n">
        <v>5</v>
      </c>
      <c r="W49" s="1" t="n">
        <v>1</v>
      </c>
      <c r="X49" s="1" t="n">
        <v>1</v>
      </c>
      <c r="Y49" s="1" t="s">
        <v>376</v>
      </c>
      <c r="Z49" s="1"/>
      <c r="AA49" s="1"/>
      <c r="AB49" s="1"/>
      <c r="AC49" s="1"/>
      <c r="AD49" s="1"/>
      <c r="AF49" s="7" t="n">
        <f aca="false">AF48+1</f>
        <v>6</v>
      </c>
      <c r="AG49" s="60" t="n">
        <f aca="false">AK$45-AK$47</f>
        <v>1.60327</v>
      </c>
      <c r="AH49" s="0" t="n">
        <v>0</v>
      </c>
      <c r="AI49" s="1" t="s">
        <v>378</v>
      </c>
      <c r="AK49" s="64" t="s">
        <v>383</v>
      </c>
    </row>
    <row r="50" customFormat="false" ht="14.1" hidden="false" customHeight="true" outlineLevel="0" collapsed="false">
      <c r="A50" s="1" t="n">
        <f aca="false">1+A49</f>
        <v>8</v>
      </c>
      <c r="B50" s="1" t="n">
        <v>4</v>
      </c>
      <c r="C50" s="1" t="n">
        <v>1</v>
      </c>
      <c r="D50" s="1" t="n">
        <v>0</v>
      </c>
      <c r="E50" s="1" t="s">
        <v>374</v>
      </c>
      <c r="G50" s="1" t="n">
        <v>1</v>
      </c>
      <c r="H50" s="1" t="n">
        <v>2</v>
      </c>
      <c r="I50" s="1" t="n">
        <v>1</v>
      </c>
      <c r="J50" s="1" t="n">
        <v>0</v>
      </c>
      <c r="K50" s="1" t="s">
        <v>375</v>
      </c>
      <c r="U50" s="1" t="n">
        <f aca="false">1+U49</f>
        <v>41</v>
      </c>
      <c r="V50" s="1" t="n">
        <v>5</v>
      </c>
      <c r="W50" s="1" t="n">
        <v>1</v>
      </c>
      <c r="X50" s="1" t="n">
        <v>1</v>
      </c>
      <c r="Y50" s="1" t="s">
        <v>376</v>
      </c>
      <c r="Z50" s="1"/>
      <c r="AA50" s="1"/>
      <c r="AB50" s="1"/>
      <c r="AC50" s="1"/>
      <c r="AD50" s="1"/>
      <c r="AF50" s="7" t="n">
        <f aca="false">AF49+1</f>
        <v>7</v>
      </c>
      <c r="AG50" s="60" t="n">
        <f aca="false">AK$45+AK$47</f>
        <v>2.79673</v>
      </c>
      <c r="AH50" s="0" t="n">
        <v>0</v>
      </c>
      <c r="AI50" s="1" t="s">
        <v>378</v>
      </c>
      <c r="AK50" s="62" t="n">
        <f aca="false">AVERAGE(AG44:AG54)</f>
        <v>2.2</v>
      </c>
      <c r="AL50" s="65" t="n">
        <f aca="false">STDEV(AG44:AG54)</f>
        <v>0.59673</v>
      </c>
    </row>
    <row r="51" customFormat="false" ht="14.1" hidden="false" customHeight="true" outlineLevel="0" collapsed="false">
      <c r="A51" s="1" t="n">
        <f aca="false">1+A50</f>
        <v>9</v>
      </c>
      <c r="B51" s="1" t="n">
        <v>4</v>
      </c>
      <c r="C51" s="1" t="n">
        <v>1</v>
      </c>
      <c r="D51" s="1" t="n">
        <v>0</v>
      </c>
      <c r="E51" s="1" t="s">
        <v>374</v>
      </c>
      <c r="G51" s="1" t="n">
        <f aca="false">1+G50</f>
        <v>2</v>
      </c>
      <c r="H51" s="1" t="n">
        <v>3</v>
      </c>
      <c r="I51" s="1" t="n">
        <v>1</v>
      </c>
      <c r="J51" s="1" t="n">
        <v>0</v>
      </c>
      <c r="K51" s="1" t="s">
        <v>375</v>
      </c>
      <c r="U51" s="1" t="n">
        <f aca="false">1+U50</f>
        <v>42</v>
      </c>
      <c r="V51" s="1" t="n">
        <v>5</v>
      </c>
      <c r="W51" s="1" t="n">
        <v>1</v>
      </c>
      <c r="X51" s="1" t="n">
        <v>1</v>
      </c>
      <c r="Y51" s="1" t="s">
        <v>376</v>
      </c>
      <c r="Z51" s="1"/>
      <c r="AA51" s="1"/>
      <c r="AB51" s="1"/>
      <c r="AC51" s="1"/>
      <c r="AD51" s="1"/>
      <c r="AF51" s="7" t="n">
        <f aca="false">AF50+1</f>
        <v>8</v>
      </c>
      <c r="AG51" s="60" t="n">
        <f aca="false">AK$45-AK$47</f>
        <v>1.60327</v>
      </c>
      <c r="AH51" s="0" t="n">
        <v>0</v>
      </c>
      <c r="AI51" s="1" t="s">
        <v>378</v>
      </c>
      <c r="AL51" s="65" t="n">
        <f aca="false">AL50/AL45</f>
        <v>1.00000516855401</v>
      </c>
      <c r="AM51" s="0" t="s">
        <v>386</v>
      </c>
    </row>
    <row r="52" customFormat="false" ht="14.1" hidden="false" customHeight="true" outlineLevel="0" collapsed="false">
      <c r="A52" s="1" t="n">
        <f aca="false">1+A51</f>
        <v>10</v>
      </c>
      <c r="B52" s="1" t="n">
        <v>4</v>
      </c>
      <c r="C52" s="1" t="n">
        <v>1</v>
      </c>
      <c r="D52" s="1" t="n">
        <v>0</v>
      </c>
      <c r="E52" s="1" t="s">
        <v>374</v>
      </c>
      <c r="G52" s="1" t="n">
        <f aca="false">1+G51</f>
        <v>3</v>
      </c>
      <c r="H52" s="1" t="n">
        <v>3</v>
      </c>
      <c r="I52" s="1" t="n">
        <v>1</v>
      </c>
      <c r="J52" s="1" t="n">
        <v>0</v>
      </c>
      <c r="K52" s="1" t="s">
        <v>375</v>
      </c>
      <c r="U52" s="1" t="n">
        <f aca="false">1+U51</f>
        <v>43</v>
      </c>
      <c r="V52" s="1" t="n">
        <v>6</v>
      </c>
      <c r="W52" s="1" t="n">
        <v>1</v>
      </c>
      <c r="X52" s="1" t="n">
        <v>1</v>
      </c>
      <c r="Y52" s="1" t="s">
        <v>376</v>
      </c>
      <c r="Z52" s="1"/>
      <c r="AA52" s="1"/>
      <c r="AB52" s="1"/>
      <c r="AC52" s="1"/>
      <c r="AD52" s="1"/>
      <c r="AF52" s="7" t="n">
        <f aca="false">AF51+1</f>
        <v>9</v>
      </c>
      <c r="AG52" s="60" t="n">
        <f aca="false">AK$45+AK$47</f>
        <v>2.79673</v>
      </c>
      <c r="AH52" s="0" t="n">
        <v>0</v>
      </c>
      <c r="AI52" s="1" t="s">
        <v>378</v>
      </c>
    </row>
    <row r="53" customFormat="false" ht="14.1" hidden="false" customHeight="true" outlineLevel="0" collapsed="false">
      <c r="A53" s="1" t="n">
        <f aca="false">1+A52</f>
        <v>11</v>
      </c>
      <c r="B53" s="1" t="n">
        <v>4</v>
      </c>
      <c r="C53" s="1" t="n">
        <v>1</v>
      </c>
      <c r="D53" s="1" t="n">
        <v>0</v>
      </c>
      <c r="E53" s="1" t="s">
        <v>374</v>
      </c>
      <c r="G53" s="1" t="n">
        <f aca="false">1+G52</f>
        <v>4</v>
      </c>
      <c r="H53" s="1" t="n">
        <v>3</v>
      </c>
      <c r="I53" s="1" t="n">
        <v>1</v>
      </c>
      <c r="J53" s="1" t="n">
        <v>0</v>
      </c>
      <c r="K53" s="1" t="s">
        <v>375</v>
      </c>
      <c r="U53" s="1" t="n">
        <f aca="false">1+U52</f>
        <v>44</v>
      </c>
      <c r="V53" s="1" t="n">
        <v>14</v>
      </c>
      <c r="W53" s="1" t="n">
        <v>0</v>
      </c>
      <c r="X53" s="1" t="n">
        <v>1</v>
      </c>
      <c r="Y53" s="1" t="s">
        <v>376</v>
      </c>
      <c r="Z53" s="1"/>
      <c r="AA53" s="1"/>
      <c r="AB53" s="1"/>
      <c r="AC53" s="1"/>
      <c r="AD53" s="1"/>
      <c r="AF53" s="7" t="n">
        <f aca="false">AF52+1</f>
        <v>10</v>
      </c>
      <c r="AG53" s="60" t="n">
        <f aca="false">AK$45-AK$47</f>
        <v>1.60327</v>
      </c>
      <c r="AH53" s="0" t="n">
        <v>0</v>
      </c>
      <c r="AI53" s="1" t="s">
        <v>378</v>
      </c>
      <c r="AK53" s="64" t="s">
        <v>399</v>
      </c>
    </row>
    <row r="54" customFormat="false" ht="14.1" hidden="false" customHeight="true" outlineLevel="0" collapsed="false">
      <c r="A54" s="1" t="n">
        <f aca="false">1+A53</f>
        <v>12</v>
      </c>
      <c r="B54" s="1" t="n">
        <v>4</v>
      </c>
      <c r="C54" s="1" t="n">
        <v>1</v>
      </c>
      <c r="D54" s="1" t="n">
        <v>0</v>
      </c>
      <c r="E54" s="1" t="s">
        <v>374</v>
      </c>
      <c r="G54" s="1" t="n">
        <f aca="false">1+G53</f>
        <v>5</v>
      </c>
      <c r="H54" s="1" t="n">
        <v>3</v>
      </c>
      <c r="I54" s="1" t="n">
        <v>1</v>
      </c>
      <c r="J54" s="1" t="n">
        <v>0</v>
      </c>
      <c r="K54" s="1" t="s">
        <v>375</v>
      </c>
      <c r="Z54" s="1"/>
      <c r="AA54" s="1"/>
      <c r="AB54" s="1"/>
      <c r="AC54" s="1"/>
      <c r="AD54" s="1"/>
      <c r="AF54" s="7" t="n">
        <f aca="false">AF53+1</f>
        <v>11</v>
      </c>
      <c r="AG54" s="60" t="n">
        <f aca="false">AK45</f>
        <v>2.2</v>
      </c>
      <c r="AH54" s="0" t="n">
        <v>0</v>
      </c>
      <c r="AI54" s="1" t="s">
        <v>378</v>
      </c>
      <c r="AN54" s="1" t="s">
        <v>202</v>
      </c>
    </row>
    <row r="55" customFormat="false" ht="14.1" hidden="false" customHeight="true" outlineLevel="0" collapsed="false">
      <c r="A55" s="1" t="n">
        <f aca="false">1+A54</f>
        <v>13</v>
      </c>
      <c r="B55" s="1" t="n">
        <v>5</v>
      </c>
      <c r="C55" s="1" t="n">
        <v>1</v>
      </c>
      <c r="D55" s="1" t="n">
        <v>0</v>
      </c>
      <c r="E55" s="1" t="s">
        <v>374</v>
      </c>
      <c r="G55" s="1" t="n">
        <f aca="false">1+G54</f>
        <v>6</v>
      </c>
      <c r="H55" s="1" t="n">
        <v>3</v>
      </c>
      <c r="I55" s="1" t="n">
        <v>1</v>
      </c>
      <c r="J55" s="1" t="n">
        <v>0</v>
      </c>
      <c r="K55" s="1" t="s">
        <v>375</v>
      </c>
      <c r="U55" s="1" t="n">
        <v>1</v>
      </c>
      <c r="V55" s="1" t="n">
        <v>2</v>
      </c>
      <c r="W55" s="1" t="n">
        <v>1</v>
      </c>
      <c r="X55" s="1" t="n">
        <v>0</v>
      </c>
      <c r="Y55" s="1" t="s">
        <v>376</v>
      </c>
      <c r="Z55" s="1"/>
      <c r="AA55" s="1"/>
      <c r="AB55" s="1"/>
      <c r="AC55" s="1"/>
      <c r="AD55" s="1"/>
      <c r="AF55" s="0" t="n">
        <f aca="false">AF54+1</f>
        <v>12</v>
      </c>
      <c r="AG55" s="0" t="n">
        <v>0</v>
      </c>
      <c r="AH55" s="0" t="n">
        <v>0</v>
      </c>
      <c r="AI55" s="1" t="s">
        <v>378</v>
      </c>
      <c r="AK55" s="62" t="n">
        <f aca="false">AVERAGE($AG44:$AG79)</f>
        <v>0.672222222222222</v>
      </c>
      <c r="AL55" s="61" t="n">
        <f aca="false">STDEV($AG44:$AG79)</f>
        <v>1.07614509312801</v>
      </c>
      <c r="AN55" s="1" t="n">
        <f aca="false">COUNT(AH44:AH79)</f>
        <v>36</v>
      </c>
    </row>
    <row r="56" customFormat="false" ht="14.1" hidden="false" customHeight="true" outlineLevel="0" collapsed="false">
      <c r="A56" s="1" t="n">
        <f aca="false">1+A55</f>
        <v>14</v>
      </c>
      <c r="B56" s="1" t="n">
        <v>5</v>
      </c>
      <c r="C56" s="1" t="n">
        <v>1</v>
      </c>
      <c r="D56" s="1" t="n">
        <v>0</v>
      </c>
      <c r="E56" s="1" t="s">
        <v>374</v>
      </c>
      <c r="G56" s="1" t="n">
        <f aca="false">1+G55</f>
        <v>7</v>
      </c>
      <c r="H56" s="1" t="n">
        <v>3</v>
      </c>
      <c r="I56" s="1" t="n">
        <v>1</v>
      </c>
      <c r="J56" s="1" t="n">
        <v>0</v>
      </c>
      <c r="K56" s="1" t="s">
        <v>375</v>
      </c>
      <c r="U56" s="1" t="n">
        <f aca="false">1+U55</f>
        <v>2</v>
      </c>
      <c r="V56" s="1" t="n">
        <v>2</v>
      </c>
      <c r="W56" s="1" t="n">
        <v>1</v>
      </c>
      <c r="X56" s="1" t="n">
        <v>0</v>
      </c>
      <c r="Y56" s="1" t="s">
        <v>376</v>
      </c>
      <c r="Z56" s="1"/>
      <c r="AA56" s="1"/>
      <c r="AB56" s="1"/>
      <c r="AC56" s="1"/>
      <c r="AD56" s="1"/>
      <c r="AF56" s="0" t="n">
        <f aca="false">AF55+1</f>
        <v>13</v>
      </c>
      <c r="AG56" s="0" t="n">
        <v>0</v>
      </c>
      <c r="AH56" s="0" t="n">
        <v>0</v>
      </c>
      <c r="AI56" s="1" t="s">
        <v>378</v>
      </c>
      <c r="AL56" s="66"/>
    </row>
    <row r="57" customFormat="false" ht="14.1" hidden="false" customHeight="true" outlineLevel="0" collapsed="false">
      <c r="A57" s="1" t="n">
        <f aca="false">1+A56</f>
        <v>15</v>
      </c>
      <c r="B57" s="1" t="n">
        <v>5</v>
      </c>
      <c r="C57" s="1" t="n">
        <v>1</v>
      </c>
      <c r="D57" s="1" t="n">
        <v>0</v>
      </c>
      <c r="E57" s="1" t="s">
        <v>374</v>
      </c>
      <c r="G57" s="1" t="n">
        <f aca="false">1+G56</f>
        <v>8</v>
      </c>
      <c r="H57" s="1" t="n">
        <v>3</v>
      </c>
      <c r="I57" s="1" t="n">
        <v>1</v>
      </c>
      <c r="J57" s="1" t="n">
        <v>0</v>
      </c>
      <c r="K57" s="1" t="s">
        <v>375</v>
      </c>
      <c r="U57" s="1" t="n">
        <f aca="false">1+U56</f>
        <v>3</v>
      </c>
      <c r="V57" s="1" t="n">
        <v>3</v>
      </c>
      <c r="W57" s="1" t="n">
        <v>1</v>
      </c>
      <c r="X57" s="1" t="n">
        <v>0</v>
      </c>
      <c r="Y57" s="1" t="s">
        <v>376</v>
      </c>
      <c r="Z57" s="1"/>
      <c r="AA57" s="1"/>
      <c r="AB57" s="1"/>
      <c r="AC57" s="1"/>
      <c r="AD57" s="1"/>
      <c r="AF57" s="0" t="n">
        <f aca="false">AF56+1</f>
        <v>14</v>
      </c>
      <c r="AG57" s="0" t="n">
        <v>0</v>
      </c>
      <c r="AH57" s="0" t="n">
        <v>0</v>
      </c>
      <c r="AI57" s="1" t="s">
        <v>378</v>
      </c>
      <c r="AK57" s="64" t="s">
        <v>390</v>
      </c>
    </row>
    <row r="58" customFormat="false" ht="14.1" hidden="false" customHeight="true" outlineLevel="0" collapsed="false">
      <c r="A58" s="1" t="n">
        <f aca="false">1+A57</f>
        <v>16</v>
      </c>
      <c r="B58" s="1" t="n">
        <v>5</v>
      </c>
      <c r="C58" s="1" t="n">
        <v>1</v>
      </c>
      <c r="D58" s="1" t="n">
        <v>0</v>
      </c>
      <c r="E58" s="1" t="s">
        <v>374</v>
      </c>
      <c r="G58" s="1" t="n">
        <f aca="false">1+G57</f>
        <v>9</v>
      </c>
      <c r="H58" s="1" t="n">
        <v>4</v>
      </c>
      <c r="I58" s="1" t="n">
        <v>1</v>
      </c>
      <c r="J58" s="1" t="n">
        <v>0</v>
      </c>
      <c r="K58" s="1" t="s">
        <v>375</v>
      </c>
      <c r="U58" s="1" t="n">
        <f aca="false">1+U57</f>
        <v>4</v>
      </c>
      <c r="V58" s="1" t="n">
        <v>3</v>
      </c>
      <c r="W58" s="1" t="n">
        <v>1</v>
      </c>
      <c r="X58" s="1" t="n">
        <v>0</v>
      </c>
      <c r="Y58" s="1" t="s">
        <v>376</v>
      </c>
      <c r="Z58" s="1"/>
      <c r="AA58" s="1"/>
      <c r="AB58" s="1"/>
      <c r="AC58" s="1"/>
      <c r="AD58" s="1"/>
      <c r="AF58" s="0" t="n">
        <f aca="false">AF57+1</f>
        <v>15</v>
      </c>
      <c r="AG58" s="0" t="n">
        <v>0</v>
      </c>
      <c r="AH58" s="0" t="n">
        <v>0</v>
      </c>
      <c r="AI58" s="1" t="s">
        <v>378</v>
      </c>
    </row>
    <row r="59" customFormat="false" ht="14.1" hidden="false" customHeight="true" outlineLevel="0" collapsed="false">
      <c r="A59" s="1" t="n">
        <f aca="false">1+A58</f>
        <v>17</v>
      </c>
      <c r="B59" s="1" t="n">
        <v>6</v>
      </c>
      <c r="C59" s="1" t="n">
        <v>1</v>
      </c>
      <c r="D59" s="1" t="n">
        <v>0</v>
      </c>
      <c r="E59" s="1" t="s">
        <v>374</v>
      </c>
      <c r="G59" s="1" t="n">
        <f aca="false">1+G58</f>
        <v>10</v>
      </c>
      <c r="H59" s="1" t="n">
        <v>4</v>
      </c>
      <c r="I59" s="1" t="n">
        <v>1</v>
      </c>
      <c r="J59" s="1" t="n">
        <v>0</v>
      </c>
      <c r="K59" s="1" t="s">
        <v>375</v>
      </c>
      <c r="U59" s="1" t="n">
        <f aca="false">1+U58</f>
        <v>5</v>
      </c>
      <c r="V59" s="1" t="n">
        <v>3</v>
      </c>
      <c r="W59" s="1" t="n">
        <v>1</v>
      </c>
      <c r="X59" s="1" t="n">
        <v>0</v>
      </c>
      <c r="Y59" s="1" t="s">
        <v>376</v>
      </c>
      <c r="Z59" s="1"/>
      <c r="AA59" s="1"/>
      <c r="AB59" s="1"/>
      <c r="AC59" s="1"/>
      <c r="AD59" s="1"/>
      <c r="AF59" s="0" t="n">
        <f aca="false">AF58+1</f>
        <v>16</v>
      </c>
      <c r="AG59" s="0" t="n">
        <v>0</v>
      </c>
      <c r="AH59" s="0" t="n">
        <v>0</v>
      </c>
      <c r="AI59" s="1" t="s">
        <v>378</v>
      </c>
      <c r="AK59" s="68" t="n">
        <f aca="false">AK55/$AK$55</f>
        <v>1</v>
      </c>
      <c r="AL59" s="68" t="n">
        <f aca="false">AL55/$AK$55</f>
        <v>1.60087699804167</v>
      </c>
      <c r="AM59" s="5" t="s">
        <v>391</v>
      </c>
    </row>
    <row r="60" customFormat="false" ht="14.1" hidden="false" customHeight="true" outlineLevel="0" collapsed="false">
      <c r="A60" s="1" t="n">
        <f aca="false">1+A59</f>
        <v>18</v>
      </c>
      <c r="B60" s="1" t="n">
        <v>6</v>
      </c>
      <c r="C60" s="1" t="n">
        <v>1</v>
      </c>
      <c r="D60" s="1" t="n">
        <v>0</v>
      </c>
      <c r="E60" s="1" t="s">
        <v>374</v>
      </c>
      <c r="G60" s="1" t="n">
        <f aca="false">1+G59</f>
        <v>11</v>
      </c>
      <c r="H60" s="1" t="n">
        <v>4</v>
      </c>
      <c r="I60" s="1" t="n">
        <v>1</v>
      </c>
      <c r="J60" s="1" t="n">
        <v>0</v>
      </c>
      <c r="K60" s="1" t="s">
        <v>375</v>
      </c>
      <c r="U60" s="1" t="n">
        <f aca="false">1+U59</f>
        <v>6</v>
      </c>
      <c r="V60" s="1" t="n">
        <v>3</v>
      </c>
      <c r="W60" s="1" t="n">
        <v>1</v>
      </c>
      <c r="X60" s="1" t="n">
        <v>0</v>
      </c>
      <c r="Y60" s="1" t="s">
        <v>376</v>
      </c>
      <c r="Z60" s="1"/>
      <c r="AA60" s="1"/>
      <c r="AB60" s="1"/>
      <c r="AC60" s="1"/>
      <c r="AD60" s="1"/>
      <c r="AF60" s="0" t="n">
        <f aca="false">AF59+1</f>
        <v>17</v>
      </c>
      <c r="AG60" s="0" t="n">
        <v>0</v>
      </c>
      <c r="AH60" s="0" t="n">
        <v>0</v>
      </c>
      <c r="AI60" s="1" t="s">
        <v>378</v>
      </c>
      <c r="AK60" s="0"/>
      <c r="AL60" s="0"/>
    </row>
    <row r="61" customFormat="false" ht="14.1" hidden="false" customHeight="true" outlineLevel="0" collapsed="false">
      <c r="A61" s="1" t="n">
        <f aca="false">1+A60</f>
        <v>19</v>
      </c>
      <c r="B61" s="1" t="n">
        <v>6</v>
      </c>
      <c r="C61" s="1" t="n">
        <v>1</v>
      </c>
      <c r="D61" s="1" t="n">
        <v>0</v>
      </c>
      <c r="E61" s="1" t="s">
        <v>374</v>
      </c>
      <c r="G61" s="1" t="n">
        <f aca="false">1+G60</f>
        <v>12</v>
      </c>
      <c r="H61" s="1" t="n">
        <v>5</v>
      </c>
      <c r="I61" s="1" t="n">
        <v>1</v>
      </c>
      <c r="J61" s="1" t="n">
        <v>0</v>
      </c>
      <c r="K61" s="1" t="s">
        <v>375</v>
      </c>
      <c r="U61" s="1" t="n">
        <f aca="false">1+U60</f>
        <v>7</v>
      </c>
      <c r="V61" s="1" t="n">
        <v>3</v>
      </c>
      <c r="W61" s="1" t="n">
        <v>1</v>
      </c>
      <c r="X61" s="1" t="n">
        <v>0</v>
      </c>
      <c r="Y61" s="1" t="s">
        <v>376</v>
      </c>
      <c r="Z61" s="1"/>
      <c r="AA61" s="1"/>
      <c r="AB61" s="1"/>
      <c r="AC61" s="1"/>
      <c r="AD61" s="1"/>
      <c r="AF61" s="0" t="n">
        <f aca="false">AF60+1</f>
        <v>18</v>
      </c>
      <c r="AG61" s="0" t="n">
        <v>0</v>
      </c>
      <c r="AH61" s="0" t="n">
        <v>0</v>
      </c>
      <c r="AI61" s="1" t="s">
        <v>378</v>
      </c>
      <c r="AK61" s="0" t="n">
        <v>100</v>
      </c>
      <c r="AL61" s="0" t="n">
        <v>242</v>
      </c>
      <c r="AM61" s="0" t="s">
        <v>400</v>
      </c>
    </row>
    <row r="62" customFormat="false" ht="14.1" hidden="false" customHeight="true" outlineLevel="0" collapsed="false">
      <c r="A62" s="1" t="n">
        <f aca="false">1+A61</f>
        <v>20</v>
      </c>
      <c r="B62" s="1" t="n">
        <v>6</v>
      </c>
      <c r="C62" s="1" t="n">
        <v>1</v>
      </c>
      <c r="D62" s="1" t="n">
        <v>0</v>
      </c>
      <c r="E62" s="1" t="s">
        <v>374</v>
      </c>
      <c r="G62" s="1" t="n">
        <f aca="false">1+G61</f>
        <v>13</v>
      </c>
      <c r="H62" s="1" t="n">
        <v>5</v>
      </c>
      <c r="I62" s="1" t="n">
        <v>1</v>
      </c>
      <c r="J62" s="1" t="n">
        <v>0</v>
      </c>
      <c r="K62" s="1" t="s">
        <v>375</v>
      </c>
      <c r="U62" s="1" t="n">
        <f aca="false">1+U61</f>
        <v>8</v>
      </c>
      <c r="V62" s="1" t="n">
        <v>3</v>
      </c>
      <c r="W62" s="1" t="n">
        <v>1</v>
      </c>
      <c r="X62" s="1" t="n">
        <v>0</v>
      </c>
      <c r="Y62" s="1" t="s">
        <v>376</v>
      </c>
      <c r="Z62" s="1"/>
      <c r="AA62" s="1"/>
      <c r="AB62" s="1"/>
      <c r="AC62" s="1"/>
      <c r="AD62" s="1"/>
      <c r="AF62" s="0" t="n">
        <f aca="false">AF61+1</f>
        <v>19</v>
      </c>
      <c r="AG62" s="0" t="n">
        <v>0</v>
      </c>
      <c r="AH62" s="0" t="n">
        <v>0</v>
      </c>
      <c r="AI62" s="1" t="s">
        <v>378</v>
      </c>
    </row>
    <row r="63" customFormat="false" ht="14.1" hidden="false" customHeight="true" outlineLevel="0" collapsed="false">
      <c r="A63" s="1" t="n">
        <f aca="false">1+A62</f>
        <v>21</v>
      </c>
      <c r="B63" s="1" t="n">
        <v>6</v>
      </c>
      <c r="C63" s="1" t="n">
        <v>1</v>
      </c>
      <c r="D63" s="1" t="n">
        <v>0</v>
      </c>
      <c r="E63" s="1" t="s">
        <v>374</v>
      </c>
      <c r="G63" s="1" t="n">
        <f aca="false">1+G62</f>
        <v>14</v>
      </c>
      <c r="H63" s="1" t="n">
        <v>5</v>
      </c>
      <c r="I63" s="1" t="n">
        <v>1</v>
      </c>
      <c r="J63" s="1" t="n">
        <v>0</v>
      </c>
      <c r="K63" s="1" t="s">
        <v>375</v>
      </c>
      <c r="U63" s="1" t="n">
        <f aca="false">1+U62</f>
        <v>9</v>
      </c>
      <c r="V63" s="1" t="n">
        <v>3</v>
      </c>
      <c r="W63" s="1" t="n">
        <v>1</v>
      </c>
      <c r="X63" s="1" t="n">
        <v>0</v>
      </c>
      <c r="Y63" s="1" t="s">
        <v>376</v>
      </c>
      <c r="Z63" s="1"/>
      <c r="AA63" s="1"/>
      <c r="AB63" s="1"/>
      <c r="AC63" s="1"/>
      <c r="AD63" s="1"/>
      <c r="AF63" s="0" t="n">
        <f aca="false">AF62+1</f>
        <v>20</v>
      </c>
      <c r="AG63" s="0" t="n">
        <v>0</v>
      </c>
      <c r="AH63" s="0" t="n">
        <v>0</v>
      </c>
      <c r="AI63" s="1" t="s">
        <v>378</v>
      </c>
    </row>
    <row r="64" customFormat="false" ht="14.1" hidden="false" customHeight="true" outlineLevel="0" collapsed="false">
      <c r="A64" s="1" t="n">
        <f aca="false">1+A63</f>
        <v>22</v>
      </c>
      <c r="B64" s="1" t="n">
        <v>7</v>
      </c>
      <c r="C64" s="1" t="n">
        <v>1</v>
      </c>
      <c r="D64" s="1" t="n">
        <v>0</v>
      </c>
      <c r="E64" s="1" t="s">
        <v>374</v>
      </c>
      <c r="G64" s="1" t="n">
        <f aca="false">1+G63</f>
        <v>15</v>
      </c>
      <c r="H64" s="1" t="n">
        <v>5</v>
      </c>
      <c r="I64" s="1" t="n">
        <v>1</v>
      </c>
      <c r="J64" s="1" t="n">
        <v>0</v>
      </c>
      <c r="K64" s="1" t="s">
        <v>375</v>
      </c>
      <c r="U64" s="1" t="n">
        <f aca="false">1+U63</f>
        <v>10</v>
      </c>
      <c r="V64" s="1" t="n">
        <v>3</v>
      </c>
      <c r="W64" s="1" t="n">
        <v>1</v>
      </c>
      <c r="X64" s="1" t="n">
        <v>0</v>
      </c>
      <c r="Y64" s="1" t="s">
        <v>376</v>
      </c>
      <c r="Z64" s="1"/>
      <c r="AA64" s="1"/>
      <c r="AB64" s="1"/>
      <c r="AC64" s="1"/>
      <c r="AD64" s="1"/>
      <c r="AF64" s="0" t="n">
        <f aca="false">AF63+1</f>
        <v>21</v>
      </c>
      <c r="AG64" s="0" t="n">
        <v>0</v>
      </c>
      <c r="AH64" s="0" t="n">
        <v>0</v>
      </c>
      <c r="AI64" s="1" t="s">
        <v>378</v>
      </c>
    </row>
    <row r="65" customFormat="false" ht="14.1" hidden="false" customHeight="true" outlineLevel="0" collapsed="false">
      <c r="A65" s="1" t="n">
        <f aca="false">1+A64</f>
        <v>23</v>
      </c>
      <c r="B65" s="1" t="n">
        <v>7</v>
      </c>
      <c r="C65" s="1" t="n">
        <v>1</v>
      </c>
      <c r="D65" s="1" t="n">
        <v>0</v>
      </c>
      <c r="E65" s="1" t="s">
        <v>374</v>
      </c>
      <c r="G65" s="1" t="n">
        <f aca="false">1+G64</f>
        <v>16</v>
      </c>
      <c r="H65" s="1" t="n">
        <v>6</v>
      </c>
      <c r="I65" s="1" t="n">
        <v>1</v>
      </c>
      <c r="J65" s="1" t="n">
        <v>0</v>
      </c>
      <c r="K65" s="1" t="s">
        <v>375</v>
      </c>
      <c r="U65" s="1" t="n">
        <f aca="false">1+U64</f>
        <v>11</v>
      </c>
      <c r="V65" s="1" t="n">
        <v>3</v>
      </c>
      <c r="W65" s="1" t="n">
        <v>1</v>
      </c>
      <c r="X65" s="1" t="n">
        <v>0</v>
      </c>
      <c r="Y65" s="1" t="s">
        <v>376</v>
      </c>
      <c r="Z65" s="1"/>
      <c r="AA65" s="1"/>
      <c r="AB65" s="1"/>
      <c r="AC65" s="1"/>
      <c r="AD65" s="1"/>
      <c r="AF65" s="0" t="n">
        <f aca="false">AF64+1</f>
        <v>22</v>
      </c>
      <c r="AG65" s="0" t="n">
        <v>0</v>
      </c>
      <c r="AH65" s="0" t="n">
        <v>0</v>
      </c>
      <c r="AI65" s="1" t="s">
        <v>378</v>
      </c>
    </row>
    <row r="66" customFormat="false" ht="14.1" hidden="false" customHeight="true" outlineLevel="0" collapsed="false">
      <c r="A66" s="1" t="n">
        <f aca="false">1+A65</f>
        <v>24</v>
      </c>
      <c r="B66" s="1" t="n">
        <v>7</v>
      </c>
      <c r="C66" s="1" t="n">
        <v>1</v>
      </c>
      <c r="D66" s="1" t="n">
        <v>0</v>
      </c>
      <c r="E66" s="1" t="s">
        <v>374</v>
      </c>
      <c r="G66" s="1" t="n">
        <f aca="false">1+G65</f>
        <v>17</v>
      </c>
      <c r="H66" s="1" t="n">
        <v>6</v>
      </c>
      <c r="I66" s="1" t="n">
        <v>1</v>
      </c>
      <c r="J66" s="1" t="n">
        <v>0</v>
      </c>
      <c r="K66" s="1" t="s">
        <v>375</v>
      </c>
      <c r="U66" s="1" t="n">
        <f aca="false">1+U65</f>
        <v>12</v>
      </c>
      <c r="V66" s="1" t="n">
        <v>3</v>
      </c>
      <c r="W66" s="1" t="n">
        <v>1</v>
      </c>
      <c r="X66" s="1" t="n">
        <v>0</v>
      </c>
      <c r="Y66" s="1" t="s">
        <v>376</v>
      </c>
      <c r="Z66" s="1"/>
      <c r="AA66" s="1"/>
      <c r="AB66" s="1"/>
      <c r="AC66" s="1"/>
      <c r="AD66" s="1"/>
      <c r="AF66" s="0" t="n">
        <f aca="false">AF65+1</f>
        <v>23</v>
      </c>
      <c r="AG66" s="0" t="n">
        <v>0</v>
      </c>
      <c r="AH66" s="0" t="n">
        <v>0</v>
      </c>
      <c r="AI66" s="1" t="s">
        <v>378</v>
      </c>
    </row>
    <row r="67" customFormat="false" ht="14.1" hidden="false" customHeight="true" outlineLevel="0" collapsed="false">
      <c r="A67" s="1" t="n">
        <f aca="false">1+A66</f>
        <v>25</v>
      </c>
      <c r="B67" s="1" t="n">
        <v>7</v>
      </c>
      <c r="C67" s="1" t="n">
        <v>1</v>
      </c>
      <c r="D67" s="1" t="n">
        <v>0</v>
      </c>
      <c r="E67" s="1" t="s">
        <v>374</v>
      </c>
      <c r="G67" s="1" t="n">
        <f aca="false">1+G66</f>
        <v>18</v>
      </c>
      <c r="H67" s="1" t="n">
        <v>6</v>
      </c>
      <c r="I67" s="1" t="n">
        <v>1</v>
      </c>
      <c r="J67" s="1" t="n">
        <v>0</v>
      </c>
      <c r="K67" s="1" t="s">
        <v>375</v>
      </c>
      <c r="U67" s="1" t="n">
        <f aca="false">1+U66</f>
        <v>13</v>
      </c>
      <c r="V67" s="1" t="n">
        <v>3</v>
      </c>
      <c r="W67" s="1" t="n">
        <v>1</v>
      </c>
      <c r="X67" s="1" t="n">
        <v>0</v>
      </c>
      <c r="Y67" s="1" t="s">
        <v>376</v>
      </c>
      <c r="Z67" s="1"/>
      <c r="AA67" s="1"/>
      <c r="AB67" s="1"/>
      <c r="AC67" s="1"/>
      <c r="AD67" s="1"/>
      <c r="AF67" s="0" t="n">
        <f aca="false">AF66+1</f>
        <v>24</v>
      </c>
      <c r="AG67" s="0" t="n">
        <v>0</v>
      </c>
      <c r="AH67" s="0" t="n">
        <v>0</v>
      </c>
      <c r="AI67" s="1" t="s">
        <v>378</v>
      </c>
    </row>
    <row r="68" customFormat="false" ht="14.1" hidden="false" customHeight="true" outlineLevel="0" collapsed="false">
      <c r="A68" s="1" t="n">
        <f aca="false">1+A67</f>
        <v>26</v>
      </c>
      <c r="B68" s="1" t="n">
        <v>7</v>
      </c>
      <c r="C68" s="1" t="n">
        <v>1</v>
      </c>
      <c r="D68" s="1" t="n">
        <v>0</v>
      </c>
      <c r="E68" s="1" t="s">
        <v>374</v>
      </c>
      <c r="G68" s="1" t="n">
        <f aca="false">1+G67</f>
        <v>19</v>
      </c>
      <c r="H68" s="1" t="n">
        <v>6</v>
      </c>
      <c r="I68" s="1" t="n">
        <v>1</v>
      </c>
      <c r="J68" s="1" t="n">
        <v>0</v>
      </c>
      <c r="K68" s="1" t="s">
        <v>375</v>
      </c>
      <c r="U68" s="1" t="n">
        <f aca="false">1+U67</f>
        <v>14</v>
      </c>
      <c r="V68" s="1" t="n">
        <v>4</v>
      </c>
      <c r="W68" s="1" t="n">
        <v>1</v>
      </c>
      <c r="X68" s="1" t="n">
        <v>0</v>
      </c>
      <c r="Y68" s="1" t="s">
        <v>376</v>
      </c>
      <c r="Z68" s="1"/>
      <c r="AA68" s="1"/>
      <c r="AB68" s="1"/>
      <c r="AC68" s="1"/>
      <c r="AD68" s="1"/>
      <c r="AF68" s="0" t="n">
        <f aca="false">AF67+1</f>
        <v>25</v>
      </c>
      <c r="AG68" s="0" t="n">
        <v>0</v>
      </c>
      <c r="AH68" s="0" t="n">
        <v>0</v>
      </c>
      <c r="AI68" s="1" t="s">
        <v>378</v>
      </c>
    </row>
    <row r="69" customFormat="false" ht="14.1" hidden="false" customHeight="true" outlineLevel="0" collapsed="false">
      <c r="A69" s="1" t="n">
        <f aca="false">1+A68</f>
        <v>27</v>
      </c>
      <c r="B69" s="1" t="n">
        <v>7</v>
      </c>
      <c r="C69" s="1" t="n">
        <v>1</v>
      </c>
      <c r="D69" s="1" t="n">
        <v>0</v>
      </c>
      <c r="E69" s="1" t="s">
        <v>374</v>
      </c>
      <c r="G69" s="1" t="n">
        <f aca="false">1+G68</f>
        <v>20</v>
      </c>
      <c r="H69" s="1" t="n">
        <v>6</v>
      </c>
      <c r="I69" s="1" t="n">
        <v>1</v>
      </c>
      <c r="J69" s="1" t="n">
        <v>0</v>
      </c>
      <c r="K69" s="1" t="s">
        <v>375</v>
      </c>
      <c r="U69" s="1" t="n">
        <f aca="false">1+U68</f>
        <v>15</v>
      </c>
      <c r="V69" s="1" t="n">
        <v>4</v>
      </c>
      <c r="W69" s="1" t="n">
        <v>1</v>
      </c>
      <c r="X69" s="1" t="n">
        <v>0</v>
      </c>
      <c r="Y69" s="1" t="s">
        <v>376</v>
      </c>
      <c r="Z69" s="1"/>
      <c r="AA69" s="1"/>
      <c r="AB69" s="1"/>
      <c r="AC69" s="1"/>
      <c r="AD69" s="1"/>
      <c r="AF69" s="0" t="n">
        <f aca="false">AF68+1</f>
        <v>26</v>
      </c>
      <c r="AG69" s="0" t="n">
        <v>0</v>
      </c>
      <c r="AH69" s="0" t="n">
        <v>0</v>
      </c>
      <c r="AI69" s="1" t="s">
        <v>378</v>
      </c>
    </row>
    <row r="70" customFormat="false" ht="14.1" hidden="false" customHeight="true" outlineLevel="0" collapsed="false">
      <c r="A70" s="1" t="n">
        <f aca="false">1+A69</f>
        <v>28</v>
      </c>
      <c r="B70" s="1" t="n">
        <v>8</v>
      </c>
      <c r="C70" s="1" t="n">
        <v>1</v>
      </c>
      <c r="D70" s="1" t="n">
        <v>0</v>
      </c>
      <c r="E70" s="1" t="s">
        <v>374</v>
      </c>
      <c r="G70" s="1" t="n">
        <f aca="false">1+G69</f>
        <v>21</v>
      </c>
      <c r="H70" s="1" t="n">
        <v>6</v>
      </c>
      <c r="I70" s="1" t="n">
        <v>1</v>
      </c>
      <c r="J70" s="1" t="n">
        <v>0</v>
      </c>
      <c r="K70" s="1" t="s">
        <v>375</v>
      </c>
      <c r="U70" s="1" t="n">
        <f aca="false">1+U69</f>
        <v>16</v>
      </c>
      <c r="V70" s="1" t="n">
        <v>4</v>
      </c>
      <c r="W70" s="1" t="n">
        <v>1</v>
      </c>
      <c r="X70" s="1" t="n">
        <v>0</v>
      </c>
      <c r="Y70" s="1" t="s">
        <v>376</v>
      </c>
      <c r="Z70" s="1"/>
      <c r="AA70" s="1"/>
      <c r="AB70" s="1"/>
      <c r="AC70" s="1"/>
      <c r="AD70" s="1"/>
      <c r="AF70" s="0" t="n">
        <f aca="false">AF69+1</f>
        <v>27</v>
      </c>
      <c r="AG70" s="0" t="n">
        <v>0</v>
      </c>
      <c r="AH70" s="0" t="n">
        <v>0</v>
      </c>
      <c r="AI70" s="1" t="s">
        <v>378</v>
      </c>
    </row>
    <row r="71" customFormat="false" ht="14.1" hidden="false" customHeight="true" outlineLevel="0" collapsed="false">
      <c r="A71" s="1" t="n">
        <f aca="false">1+A70</f>
        <v>29</v>
      </c>
      <c r="B71" s="1" t="n">
        <v>8</v>
      </c>
      <c r="C71" s="1" t="n">
        <v>1</v>
      </c>
      <c r="D71" s="1" t="n">
        <v>0</v>
      </c>
      <c r="E71" s="1" t="s">
        <v>374</v>
      </c>
      <c r="G71" s="1" t="n">
        <f aca="false">1+G70</f>
        <v>22</v>
      </c>
      <c r="H71" s="1" t="n">
        <v>7</v>
      </c>
      <c r="I71" s="1" t="n">
        <v>1</v>
      </c>
      <c r="J71" s="1" t="n">
        <v>0</v>
      </c>
      <c r="K71" s="1" t="s">
        <v>375</v>
      </c>
      <c r="U71" s="1" t="n">
        <f aca="false">1+U70</f>
        <v>17</v>
      </c>
      <c r="V71" s="1" t="n">
        <v>4</v>
      </c>
      <c r="W71" s="1" t="n">
        <v>1</v>
      </c>
      <c r="X71" s="1" t="n">
        <v>0</v>
      </c>
      <c r="Y71" s="1" t="s">
        <v>376</v>
      </c>
      <c r="Z71" s="1"/>
      <c r="AA71" s="1"/>
      <c r="AB71" s="1"/>
      <c r="AC71" s="1"/>
      <c r="AD71" s="1"/>
      <c r="AF71" s="0" t="n">
        <f aca="false">AF70+1</f>
        <v>28</v>
      </c>
      <c r="AG71" s="0" t="n">
        <v>0</v>
      </c>
      <c r="AH71" s="0" t="n">
        <v>0</v>
      </c>
      <c r="AI71" s="1" t="s">
        <v>378</v>
      </c>
    </row>
    <row r="72" customFormat="false" ht="14.1" hidden="false" customHeight="true" outlineLevel="0" collapsed="false">
      <c r="A72" s="1" t="n">
        <f aca="false">1+A71</f>
        <v>30</v>
      </c>
      <c r="B72" s="1" t="n">
        <v>9</v>
      </c>
      <c r="C72" s="1" t="n">
        <v>1</v>
      </c>
      <c r="D72" s="1" t="n">
        <v>0</v>
      </c>
      <c r="E72" s="1" t="s">
        <v>374</v>
      </c>
      <c r="G72" s="1" t="n">
        <f aca="false">1+G71</f>
        <v>23</v>
      </c>
      <c r="H72" s="1" t="n">
        <v>8</v>
      </c>
      <c r="I72" s="1" t="n">
        <v>1</v>
      </c>
      <c r="J72" s="1" t="n">
        <v>0</v>
      </c>
      <c r="K72" s="1" t="s">
        <v>375</v>
      </c>
      <c r="U72" s="1" t="n">
        <f aca="false">1+U71</f>
        <v>18</v>
      </c>
      <c r="V72" s="1" t="n">
        <v>4</v>
      </c>
      <c r="W72" s="1" t="n">
        <v>1</v>
      </c>
      <c r="X72" s="1" t="n">
        <v>0</v>
      </c>
      <c r="Y72" s="1" t="s">
        <v>376</v>
      </c>
      <c r="Z72" s="1"/>
      <c r="AA72" s="1"/>
      <c r="AB72" s="1"/>
      <c r="AC72" s="1"/>
      <c r="AD72" s="1"/>
      <c r="AF72" s="0" t="n">
        <f aca="false">AF71+1</f>
        <v>29</v>
      </c>
      <c r="AG72" s="0" t="n">
        <v>0</v>
      </c>
      <c r="AH72" s="0" t="n">
        <v>0</v>
      </c>
      <c r="AI72" s="1" t="s">
        <v>378</v>
      </c>
    </row>
    <row r="73" customFormat="false" ht="14.1" hidden="false" customHeight="true" outlineLevel="0" collapsed="false">
      <c r="A73" s="1" t="n">
        <f aca="false">1+A72</f>
        <v>31</v>
      </c>
      <c r="B73" s="1" t="n">
        <v>10</v>
      </c>
      <c r="C73" s="1" t="n">
        <v>1</v>
      </c>
      <c r="D73" s="1" t="n">
        <v>0</v>
      </c>
      <c r="E73" s="1" t="s">
        <v>374</v>
      </c>
      <c r="G73" s="1" t="n">
        <f aca="false">1+G72</f>
        <v>24</v>
      </c>
      <c r="H73" s="1" t="n">
        <v>8</v>
      </c>
      <c r="I73" s="1" t="n">
        <v>1</v>
      </c>
      <c r="J73" s="1" t="n">
        <v>0</v>
      </c>
      <c r="K73" s="1" t="s">
        <v>375</v>
      </c>
      <c r="U73" s="1" t="n">
        <f aca="false">1+U72</f>
        <v>19</v>
      </c>
      <c r="V73" s="1" t="n">
        <v>4</v>
      </c>
      <c r="W73" s="1" t="n">
        <v>1</v>
      </c>
      <c r="X73" s="1" t="n">
        <v>0</v>
      </c>
      <c r="Y73" s="1" t="s">
        <v>376</v>
      </c>
      <c r="Z73" s="1"/>
      <c r="AA73" s="1"/>
      <c r="AB73" s="1"/>
      <c r="AC73" s="1"/>
      <c r="AD73" s="1"/>
      <c r="AF73" s="0" t="n">
        <f aca="false">AF72+1</f>
        <v>30</v>
      </c>
      <c r="AG73" s="0" t="n">
        <v>0</v>
      </c>
      <c r="AH73" s="0" t="n">
        <v>0</v>
      </c>
      <c r="AI73" s="1" t="s">
        <v>378</v>
      </c>
    </row>
    <row r="74" customFormat="false" ht="14.1" hidden="false" customHeight="true" outlineLevel="0" collapsed="false">
      <c r="A74" s="1" t="n">
        <f aca="false">1+A73</f>
        <v>32</v>
      </c>
      <c r="B74" s="1" t="n">
        <v>10</v>
      </c>
      <c r="C74" s="1" t="n">
        <v>1</v>
      </c>
      <c r="D74" s="1" t="n">
        <v>0</v>
      </c>
      <c r="E74" s="1" t="s">
        <v>374</v>
      </c>
      <c r="G74" s="1" t="n">
        <f aca="false">1+G73</f>
        <v>25</v>
      </c>
      <c r="H74" s="1" t="n">
        <v>10</v>
      </c>
      <c r="I74" s="1" t="n">
        <v>1</v>
      </c>
      <c r="J74" s="1" t="n">
        <v>0</v>
      </c>
      <c r="K74" s="1" t="s">
        <v>375</v>
      </c>
      <c r="U74" s="1" t="n">
        <f aca="false">1+U73</f>
        <v>20</v>
      </c>
      <c r="V74" s="1" t="n">
        <v>4</v>
      </c>
      <c r="W74" s="1" t="n">
        <v>1</v>
      </c>
      <c r="X74" s="1" t="n">
        <v>0</v>
      </c>
      <c r="Y74" s="1" t="s">
        <v>376</v>
      </c>
      <c r="Z74" s="1"/>
      <c r="AA74" s="1"/>
      <c r="AB74" s="1"/>
      <c r="AC74" s="1"/>
      <c r="AD74" s="1"/>
      <c r="AF74" s="0" t="n">
        <f aca="false">AF73+1</f>
        <v>31</v>
      </c>
      <c r="AG74" s="0" t="n">
        <v>0</v>
      </c>
      <c r="AH74" s="0" t="n">
        <v>0</v>
      </c>
      <c r="AI74" s="1" t="s">
        <v>378</v>
      </c>
    </row>
    <row r="75" customFormat="false" ht="14.1" hidden="false" customHeight="true" outlineLevel="0" collapsed="false">
      <c r="A75" s="1" t="n">
        <f aca="false">1+A74</f>
        <v>33</v>
      </c>
      <c r="B75" s="1" t="n">
        <v>11</v>
      </c>
      <c r="C75" s="1" t="n">
        <v>0</v>
      </c>
      <c r="D75" s="1" t="n">
        <v>0</v>
      </c>
      <c r="E75" s="1" t="s">
        <v>374</v>
      </c>
      <c r="U75" s="1" t="n">
        <f aca="false">1+U74</f>
        <v>21</v>
      </c>
      <c r="V75" s="1" t="n">
        <v>4</v>
      </c>
      <c r="W75" s="1" t="n">
        <v>1</v>
      </c>
      <c r="X75" s="1" t="n">
        <v>0</v>
      </c>
      <c r="Y75" s="1" t="s">
        <v>376</v>
      </c>
      <c r="Z75" s="1"/>
      <c r="AA75" s="1"/>
      <c r="AB75" s="1"/>
      <c r="AC75" s="1"/>
      <c r="AD75" s="1"/>
      <c r="AF75" s="0" t="n">
        <f aca="false">AF74+1</f>
        <v>32</v>
      </c>
      <c r="AG75" s="0" t="n">
        <v>0</v>
      </c>
      <c r="AH75" s="0" t="n">
        <v>0</v>
      </c>
      <c r="AI75" s="1" t="s">
        <v>378</v>
      </c>
    </row>
    <row r="76" customFormat="false" ht="14.1" hidden="false" customHeight="true" outlineLevel="0" collapsed="false">
      <c r="G76" s="1" t="n">
        <v>1</v>
      </c>
      <c r="H76" s="1" t="n">
        <v>3</v>
      </c>
      <c r="I76" s="1" t="n">
        <v>1</v>
      </c>
      <c r="J76" s="7" t="n">
        <v>1</v>
      </c>
      <c r="K76" s="1" t="s">
        <v>401</v>
      </c>
      <c r="U76" s="1" t="n">
        <f aca="false">1+U75</f>
        <v>22</v>
      </c>
      <c r="V76" s="1" t="n">
        <v>4</v>
      </c>
      <c r="W76" s="1" t="n">
        <v>1</v>
      </c>
      <c r="X76" s="1" t="n">
        <v>0</v>
      </c>
      <c r="Y76" s="1" t="s">
        <v>376</v>
      </c>
      <c r="Z76" s="1"/>
      <c r="AA76" s="1"/>
      <c r="AB76" s="1"/>
      <c r="AC76" s="1"/>
      <c r="AD76" s="1"/>
      <c r="AF76" s="0" t="n">
        <f aca="false">AF75+1</f>
        <v>33</v>
      </c>
      <c r="AG76" s="0" t="n">
        <v>0</v>
      </c>
      <c r="AH76" s="0" t="n">
        <v>0</v>
      </c>
      <c r="AI76" s="1" t="s">
        <v>378</v>
      </c>
    </row>
    <row r="77" customFormat="false" ht="14.1" hidden="false" customHeight="true" outlineLevel="0" collapsed="false">
      <c r="A77" s="1" t="n">
        <v>1</v>
      </c>
      <c r="B77" s="1" t="n">
        <v>2</v>
      </c>
      <c r="C77" s="1" t="n">
        <v>1</v>
      </c>
      <c r="D77" s="7" t="n">
        <v>1</v>
      </c>
      <c r="E77" s="1" t="s">
        <v>402</v>
      </c>
      <c r="G77" s="1" t="n">
        <f aca="false">1+G76</f>
        <v>2</v>
      </c>
      <c r="H77" s="1" t="n">
        <v>3</v>
      </c>
      <c r="I77" s="1" t="n">
        <v>1</v>
      </c>
      <c r="J77" s="7" t="n">
        <v>1</v>
      </c>
      <c r="K77" s="1" t="s">
        <v>401</v>
      </c>
      <c r="U77" s="1" t="n">
        <f aca="false">1+U76</f>
        <v>23</v>
      </c>
      <c r="V77" s="1" t="n">
        <v>4</v>
      </c>
      <c r="W77" s="1" t="n">
        <v>1</v>
      </c>
      <c r="X77" s="1" t="n">
        <v>0</v>
      </c>
      <c r="Y77" s="1" t="s">
        <v>376</v>
      </c>
      <c r="Z77" s="1"/>
      <c r="AA77" s="1"/>
      <c r="AB77" s="1"/>
      <c r="AC77" s="1"/>
      <c r="AD77" s="1"/>
      <c r="AF77" s="0" t="n">
        <f aca="false">AF76+1</f>
        <v>34</v>
      </c>
      <c r="AG77" s="0" t="n">
        <v>0</v>
      </c>
      <c r="AH77" s="0" t="n">
        <v>0</v>
      </c>
      <c r="AI77" s="1" t="s">
        <v>378</v>
      </c>
    </row>
    <row r="78" customFormat="false" ht="14.1" hidden="false" customHeight="true" outlineLevel="0" collapsed="false">
      <c r="A78" s="1" t="n">
        <f aca="false">1+A77</f>
        <v>2</v>
      </c>
      <c r="B78" s="1" t="n">
        <v>3</v>
      </c>
      <c r="C78" s="1" t="n">
        <v>1</v>
      </c>
      <c r="D78" s="7" t="n">
        <v>1</v>
      </c>
      <c r="E78" s="1" t="s">
        <v>402</v>
      </c>
      <c r="G78" s="1" t="n">
        <f aca="false">1+G77</f>
        <v>3</v>
      </c>
      <c r="H78" s="1" t="n">
        <v>3</v>
      </c>
      <c r="I78" s="1" t="n">
        <v>1</v>
      </c>
      <c r="J78" s="7" t="n">
        <v>1</v>
      </c>
      <c r="K78" s="1" t="s">
        <v>401</v>
      </c>
      <c r="U78" s="1" t="n">
        <f aca="false">1+U77</f>
        <v>24</v>
      </c>
      <c r="V78" s="1" t="n">
        <v>4</v>
      </c>
      <c r="W78" s="1" t="n">
        <v>1</v>
      </c>
      <c r="X78" s="1" t="n">
        <v>0</v>
      </c>
      <c r="Y78" s="1" t="s">
        <v>376</v>
      </c>
      <c r="Z78" s="1"/>
      <c r="AA78" s="1"/>
      <c r="AB78" s="1"/>
      <c r="AC78" s="1"/>
      <c r="AD78" s="1"/>
      <c r="AF78" s="0" t="n">
        <f aca="false">AF77+1</f>
        <v>35</v>
      </c>
      <c r="AG78" s="0" t="n">
        <v>0</v>
      </c>
      <c r="AH78" s="0" t="n">
        <v>0</v>
      </c>
      <c r="AI78" s="1" t="s">
        <v>378</v>
      </c>
    </row>
    <row r="79" customFormat="false" ht="14.1" hidden="false" customHeight="true" outlineLevel="0" collapsed="false">
      <c r="A79" s="1" t="n">
        <f aca="false">1+A78</f>
        <v>3</v>
      </c>
      <c r="B79" s="1" t="n">
        <v>3</v>
      </c>
      <c r="C79" s="1" t="n">
        <v>1</v>
      </c>
      <c r="D79" s="7" t="n">
        <v>1</v>
      </c>
      <c r="E79" s="1" t="s">
        <v>402</v>
      </c>
      <c r="G79" s="1" t="n">
        <f aca="false">1+G78</f>
        <v>4</v>
      </c>
      <c r="H79" s="1" t="n">
        <v>3</v>
      </c>
      <c r="I79" s="1" t="n">
        <v>1</v>
      </c>
      <c r="J79" s="7" t="n">
        <v>1</v>
      </c>
      <c r="K79" s="1" t="s">
        <v>401</v>
      </c>
      <c r="U79" s="1" t="n">
        <f aca="false">1+U78</f>
        <v>25</v>
      </c>
      <c r="V79" s="1" t="n">
        <v>4</v>
      </c>
      <c r="W79" s="1" t="n">
        <v>1</v>
      </c>
      <c r="X79" s="1" t="n">
        <v>0</v>
      </c>
      <c r="Y79" s="1" t="s">
        <v>376</v>
      </c>
      <c r="Z79" s="1"/>
      <c r="AA79" s="1"/>
      <c r="AB79" s="1"/>
      <c r="AC79" s="1"/>
      <c r="AD79" s="1"/>
      <c r="AF79" s="0" t="n">
        <f aca="false">AF78+1</f>
        <v>36</v>
      </c>
      <c r="AG79" s="0" t="n">
        <v>0</v>
      </c>
      <c r="AH79" s="0" t="n">
        <v>0</v>
      </c>
      <c r="AI79" s="1" t="s">
        <v>378</v>
      </c>
    </row>
    <row r="80" customFormat="false" ht="14.1" hidden="false" customHeight="true" outlineLevel="0" collapsed="false">
      <c r="A80" s="1" t="n">
        <f aca="false">1+A79</f>
        <v>4</v>
      </c>
      <c r="B80" s="1" t="n">
        <v>3</v>
      </c>
      <c r="C80" s="1" t="n">
        <v>1</v>
      </c>
      <c r="D80" s="7" t="n">
        <v>1</v>
      </c>
      <c r="E80" s="1" t="s">
        <v>402</v>
      </c>
      <c r="G80" s="1" t="n">
        <f aca="false">1+G79</f>
        <v>5</v>
      </c>
      <c r="H80" s="1" t="n">
        <v>4</v>
      </c>
      <c r="I80" s="1" t="n">
        <v>1</v>
      </c>
      <c r="J80" s="7" t="n">
        <v>1</v>
      </c>
      <c r="K80" s="1" t="s">
        <v>401</v>
      </c>
      <c r="U80" s="1" t="n">
        <f aca="false">1+U79</f>
        <v>26</v>
      </c>
      <c r="V80" s="1" t="n">
        <v>4</v>
      </c>
      <c r="W80" s="1" t="n">
        <v>1</v>
      </c>
      <c r="X80" s="1" t="n">
        <v>0</v>
      </c>
      <c r="Y80" s="1" t="s">
        <v>376</v>
      </c>
      <c r="Z80" s="1"/>
      <c r="AA80" s="1"/>
      <c r="AB80" s="1"/>
      <c r="AC80" s="1"/>
      <c r="AD80" s="1"/>
      <c r="AI80" s="0"/>
      <c r="AJ80" s="0"/>
      <c r="AK80" s="0"/>
      <c r="AL80" s="0"/>
    </row>
    <row r="81" customFormat="false" ht="14.1" hidden="false" customHeight="true" outlineLevel="0" collapsed="false">
      <c r="A81" s="1" t="n">
        <f aca="false">1+A80</f>
        <v>5</v>
      </c>
      <c r="B81" s="1" t="n">
        <v>4</v>
      </c>
      <c r="C81" s="1" t="n">
        <v>1</v>
      </c>
      <c r="D81" s="7" t="n">
        <v>1</v>
      </c>
      <c r="E81" s="1" t="s">
        <v>402</v>
      </c>
      <c r="G81" s="1" t="n">
        <f aca="false">1+G80</f>
        <v>6</v>
      </c>
      <c r="H81" s="1" t="n">
        <v>4</v>
      </c>
      <c r="I81" s="1" t="n">
        <v>1</v>
      </c>
      <c r="J81" s="7" t="n">
        <v>1</v>
      </c>
      <c r="K81" s="1" t="s">
        <v>401</v>
      </c>
      <c r="U81" s="1" t="n">
        <f aca="false">1+U80</f>
        <v>27</v>
      </c>
      <c r="V81" s="1" t="n">
        <v>4</v>
      </c>
      <c r="W81" s="1" t="n">
        <v>1</v>
      </c>
      <c r="X81" s="1" t="n">
        <v>0</v>
      </c>
      <c r="Y81" s="1" t="s">
        <v>376</v>
      </c>
      <c r="Z81" s="1"/>
      <c r="AA81" s="1"/>
      <c r="AB81" s="1"/>
      <c r="AC81" s="1"/>
      <c r="AD81" s="1"/>
      <c r="AI81" s="0"/>
      <c r="AJ81" s="0"/>
      <c r="AK81" s="0"/>
      <c r="AL81" s="0"/>
    </row>
    <row r="82" customFormat="false" ht="14.1" hidden="false" customHeight="true" outlineLevel="0" collapsed="false">
      <c r="A82" s="1" t="n">
        <f aca="false">1+A81</f>
        <v>6</v>
      </c>
      <c r="B82" s="1" t="n">
        <v>4</v>
      </c>
      <c r="C82" s="1" t="n">
        <v>1</v>
      </c>
      <c r="D82" s="7" t="n">
        <v>1</v>
      </c>
      <c r="E82" s="1" t="s">
        <v>402</v>
      </c>
      <c r="G82" s="1" t="n">
        <f aca="false">1+G81</f>
        <v>7</v>
      </c>
      <c r="H82" s="1" t="n">
        <v>4</v>
      </c>
      <c r="I82" s="1" t="n">
        <v>1</v>
      </c>
      <c r="J82" s="7" t="n">
        <v>1</v>
      </c>
      <c r="K82" s="1" t="s">
        <v>401</v>
      </c>
      <c r="U82" s="1" t="n">
        <f aca="false">1+U81</f>
        <v>28</v>
      </c>
      <c r="V82" s="1" t="n">
        <v>4</v>
      </c>
      <c r="W82" s="1" t="n">
        <v>1</v>
      </c>
      <c r="X82" s="1" t="n">
        <v>0</v>
      </c>
      <c r="Y82" s="1" t="s">
        <v>376</v>
      </c>
      <c r="Z82" s="1"/>
      <c r="AA82" s="1"/>
      <c r="AB82" s="1"/>
      <c r="AC82" s="1"/>
      <c r="AD82" s="1"/>
      <c r="AI82" s="0"/>
      <c r="AJ82" s="0"/>
      <c r="AK82" s="0"/>
      <c r="AL82" s="0"/>
    </row>
    <row r="83" customFormat="false" ht="14.1" hidden="false" customHeight="true" outlineLevel="0" collapsed="false">
      <c r="A83" s="1" t="n">
        <f aca="false">1+A82</f>
        <v>7</v>
      </c>
      <c r="B83" s="1" t="n">
        <v>4</v>
      </c>
      <c r="C83" s="1" t="n">
        <v>1</v>
      </c>
      <c r="D83" s="7" t="n">
        <v>1</v>
      </c>
      <c r="E83" s="1" t="s">
        <v>402</v>
      </c>
      <c r="G83" s="1" t="n">
        <f aca="false">1+G82</f>
        <v>8</v>
      </c>
      <c r="H83" s="1" t="n">
        <v>4</v>
      </c>
      <c r="I83" s="1" t="n">
        <v>1</v>
      </c>
      <c r="J83" s="7" t="n">
        <v>1</v>
      </c>
      <c r="K83" s="1" t="s">
        <v>401</v>
      </c>
      <c r="U83" s="1" t="n">
        <f aca="false">1+U82</f>
        <v>29</v>
      </c>
      <c r="V83" s="1" t="n">
        <v>4</v>
      </c>
      <c r="W83" s="1" t="n">
        <v>1</v>
      </c>
      <c r="X83" s="1" t="n">
        <v>0</v>
      </c>
      <c r="Y83" s="1" t="s">
        <v>376</v>
      </c>
      <c r="Z83" s="1"/>
      <c r="AA83" s="1"/>
      <c r="AB83" s="1"/>
      <c r="AC83" s="1"/>
      <c r="AD83" s="1"/>
      <c r="AI83" s="0"/>
      <c r="AJ83" s="0"/>
      <c r="AK83" s="0"/>
      <c r="AL83" s="0"/>
    </row>
    <row r="84" customFormat="false" ht="14.1" hidden="false" customHeight="true" outlineLevel="0" collapsed="false">
      <c r="A84" s="1" t="n">
        <f aca="false">1+A83</f>
        <v>8</v>
      </c>
      <c r="B84" s="1" t="n">
        <v>4</v>
      </c>
      <c r="C84" s="1" t="n">
        <v>1</v>
      </c>
      <c r="D84" s="7" t="n">
        <v>1</v>
      </c>
      <c r="E84" s="1" t="s">
        <v>402</v>
      </c>
      <c r="G84" s="1" t="n">
        <f aca="false">1+G83</f>
        <v>9</v>
      </c>
      <c r="H84" s="1" t="n">
        <v>4</v>
      </c>
      <c r="I84" s="1" t="n">
        <v>1</v>
      </c>
      <c r="J84" s="7" t="n">
        <v>1</v>
      </c>
      <c r="K84" s="1" t="s">
        <v>401</v>
      </c>
      <c r="U84" s="1" t="n">
        <f aca="false">1+U83</f>
        <v>30</v>
      </c>
      <c r="V84" s="1" t="n">
        <v>4</v>
      </c>
      <c r="W84" s="1" t="n">
        <v>1</v>
      </c>
      <c r="X84" s="1" t="n">
        <v>0</v>
      </c>
      <c r="Y84" s="1" t="s">
        <v>376</v>
      </c>
      <c r="Z84" s="1"/>
      <c r="AA84" s="1"/>
      <c r="AB84" s="1"/>
      <c r="AC84" s="1"/>
      <c r="AD84" s="1"/>
      <c r="AI84" s="0"/>
      <c r="AJ84" s="0"/>
      <c r="AK84" s="0"/>
      <c r="AL84" s="0"/>
    </row>
    <row r="85" customFormat="false" ht="14.1" hidden="false" customHeight="true" outlineLevel="0" collapsed="false">
      <c r="A85" s="1" t="n">
        <f aca="false">1+A84</f>
        <v>9</v>
      </c>
      <c r="B85" s="1" t="n">
        <v>4</v>
      </c>
      <c r="C85" s="1" t="n">
        <v>1</v>
      </c>
      <c r="D85" s="7" t="n">
        <v>1</v>
      </c>
      <c r="E85" s="1" t="s">
        <v>402</v>
      </c>
      <c r="G85" s="1" t="n">
        <f aca="false">1+G84</f>
        <v>10</v>
      </c>
      <c r="H85" s="1" t="n">
        <v>5</v>
      </c>
      <c r="I85" s="1" t="n">
        <v>1</v>
      </c>
      <c r="J85" s="7" t="n">
        <v>1</v>
      </c>
      <c r="K85" s="1" t="s">
        <v>401</v>
      </c>
      <c r="U85" s="1" t="n">
        <f aca="false">1+U84</f>
        <v>31</v>
      </c>
      <c r="V85" s="1" t="n">
        <v>4</v>
      </c>
      <c r="W85" s="1" t="n">
        <v>1</v>
      </c>
      <c r="X85" s="1" t="n">
        <v>0</v>
      </c>
      <c r="Y85" s="1" t="s">
        <v>376</v>
      </c>
      <c r="Z85" s="1"/>
      <c r="AA85" s="1"/>
      <c r="AB85" s="1"/>
      <c r="AC85" s="1"/>
      <c r="AD85" s="1"/>
      <c r="AI85" s="0"/>
      <c r="AJ85" s="0"/>
      <c r="AK85" s="0"/>
      <c r="AL85" s="0"/>
    </row>
    <row r="86" customFormat="false" ht="14.1" hidden="false" customHeight="true" outlineLevel="0" collapsed="false">
      <c r="A86" s="1" t="n">
        <f aca="false">1+A85</f>
        <v>10</v>
      </c>
      <c r="B86" s="1" t="n">
        <v>4</v>
      </c>
      <c r="C86" s="1" t="n">
        <v>1</v>
      </c>
      <c r="D86" s="7" t="n">
        <v>1</v>
      </c>
      <c r="E86" s="1" t="s">
        <v>402</v>
      </c>
      <c r="G86" s="1" t="n">
        <f aca="false">1+G85</f>
        <v>11</v>
      </c>
      <c r="H86" s="1" t="n">
        <v>5</v>
      </c>
      <c r="I86" s="1" t="n">
        <v>1</v>
      </c>
      <c r="J86" s="7" t="n">
        <v>1</v>
      </c>
      <c r="K86" s="1" t="s">
        <v>401</v>
      </c>
      <c r="U86" s="1" t="n">
        <f aca="false">1+U85</f>
        <v>32</v>
      </c>
      <c r="V86" s="1" t="n">
        <v>4</v>
      </c>
      <c r="W86" s="1" t="n">
        <v>1</v>
      </c>
      <c r="X86" s="1" t="n">
        <v>0</v>
      </c>
      <c r="Y86" s="1" t="s">
        <v>376</v>
      </c>
      <c r="Z86" s="1"/>
      <c r="AA86" s="1"/>
      <c r="AB86" s="1"/>
      <c r="AC86" s="1"/>
      <c r="AD86" s="1"/>
      <c r="AI86" s="0"/>
      <c r="AJ86" s="0"/>
      <c r="AK86" s="0"/>
      <c r="AL86" s="0"/>
    </row>
    <row r="87" customFormat="false" ht="14.1" hidden="false" customHeight="true" outlineLevel="0" collapsed="false">
      <c r="A87" s="1" t="n">
        <f aca="false">1+A86</f>
        <v>11</v>
      </c>
      <c r="B87" s="1" t="n">
        <v>4</v>
      </c>
      <c r="C87" s="1" t="n">
        <v>1</v>
      </c>
      <c r="D87" s="7" t="n">
        <v>1</v>
      </c>
      <c r="E87" s="1" t="s">
        <v>402</v>
      </c>
      <c r="G87" s="1" t="n">
        <f aca="false">1+G86</f>
        <v>12</v>
      </c>
      <c r="H87" s="1" t="n">
        <v>5</v>
      </c>
      <c r="I87" s="1" t="n">
        <v>1</v>
      </c>
      <c r="J87" s="7" t="n">
        <v>1</v>
      </c>
      <c r="K87" s="1" t="s">
        <v>401</v>
      </c>
      <c r="U87" s="1" t="n">
        <f aca="false">1+U86</f>
        <v>33</v>
      </c>
      <c r="V87" s="1" t="n">
        <v>4</v>
      </c>
      <c r="W87" s="1" t="n">
        <v>1</v>
      </c>
      <c r="X87" s="1" t="n">
        <v>0</v>
      </c>
      <c r="Y87" s="1" t="s">
        <v>376</v>
      </c>
      <c r="Z87" s="1"/>
      <c r="AA87" s="1"/>
      <c r="AB87" s="1"/>
      <c r="AC87" s="1"/>
      <c r="AD87" s="1"/>
      <c r="AI87" s="0"/>
      <c r="AJ87" s="0"/>
      <c r="AK87" s="0"/>
      <c r="AL87" s="0"/>
    </row>
    <row r="88" customFormat="false" ht="14.1" hidden="false" customHeight="true" outlineLevel="0" collapsed="false">
      <c r="A88" s="1" t="n">
        <f aca="false">1+A87</f>
        <v>12</v>
      </c>
      <c r="B88" s="1" t="n">
        <v>5</v>
      </c>
      <c r="C88" s="1" t="n">
        <v>1</v>
      </c>
      <c r="D88" s="7" t="n">
        <v>1</v>
      </c>
      <c r="E88" s="1" t="s">
        <v>402</v>
      </c>
      <c r="G88" s="1" t="n">
        <f aca="false">1+G87</f>
        <v>13</v>
      </c>
      <c r="H88" s="1" t="n">
        <v>5</v>
      </c>
      <c r="I88" s="1" t="n">
        <v>1</v>
      </c>
      <c r="J88" s="7" t="n">
        <v>1</v>
      </c>
      <c r="K88" s="1" t="s">
        <v>401</v>
      </c>
      <c r="U88" s="1" t="n">
        <f aca="false">1+U87</f>
        <v>34</v>
      </c>
      <c r="V88" s="1" t="n">
        <v>4</v>
      </c>
      <c r="W88" s="1" t="n">
        <v>1</v>
      </c>
      <c r="X88" s="1" t="n">
        <v>0</v>
      </c>
      <c r="Y88" s="1" t="s">
        <v>376</v>
      </c>
      <c r="Z88" s="1"/>
      <c r="AA88" s="1"/>
      <c r="AB88" s="1"/>
      <c r="AC88" s="1"/>
      <c r="AD88" s="1"/>
      <c r="AI88" s="0"/>
      <c r="AJ88" s="0"/>
      <c r="AK88" s="0"/>
      <c r="AL88" s="0"/>
    </row>
    <row r="89" customFormat="false" ht="14.1" hidden="false" customHeight="true" outlineLevel="0" collapsed="false">
      <c r="A89" s="1" t="n">
        <f aca="false">1+A88</f>
        <v>13</v>
      </c>
      <c r="B89" s="1" t="n">
        <v>5</v>
      </c>
      <c r="C89" s="1" t="n">
        <v>1</v>
      </c>
      <c r="D89" s="7" t="n">
        <v>1</v>
      </c>
      <c r="E89" s="1" t="s">
        <v>402</v>
      </c>
      <c r="G89" s="1" t="n">
        <f aca="false">1+G88</f>
        <v>14</v>
      </c>
      <c r="H89" s="1" t="n">
        <v>5</v>
      </c>
      <c r="I89" s="1" t="n">
        <v>1</v>
      </c>
      <c r="J89" s="7" t="n">
        <v>1</v>
      </c>
      <c r="K89" s="1" t="s">
        <v>401</v>
      </c>
      <c r="U89" s="1" t="n">
        <f aca="false">1+U88</f>
        <v>35</v>
      </c>
      <c r="V89" s="1" t="n">
        <v>4</v>
      </c>
      <c r="W89" s="1" t="n">
        <v>1</v>
      </c>
      <c r="X89" s="1" t="n">
        <v>0</v>
      </c>
      <c r="Y89" s="1" t="s">
        <v>376</v>
      </c>
      <c r="Z89" s="1"/>
      <c r="AA89" s="1"/>
      <c r="AB89" s="1"/>
      <c r="AC89" s="1"/>
      <c r="AD89" s="1"/>
      <c r="AI89" s="0"/>
      <c r="AJ89" s="0"/>
      <c r="AK89" s="0"/>
      <c r="AL89" s="0"/>
    </row>
    <row r="90" customFormat="false" ht="14.1" hidden="false" customHeight="true" outlineLevel="0" collapsed="false">
      <c r="A90" s="1" t="n">
        <f aca="false">1+A89</f>
        <v>14</v>
      </c>
      <c r="B90" s="1" t="n">
        <v>5</v>
      </c>
      <c r="C90" s="1" t="n">
        <v>1</v>
      </c>
      <c r="D90" s="7" t="n">
        <v>1</v>
      </c>
      <c r="E90" s="1" t="s">
        <v>402</v>
      </c>
      <c r="G90" s="1" t="n">
        <f aca="false">1+G89</f>
        <v>15</v>
      </c>
      <c r="H90" s="1" t="n">
        <v>6</v>
      </c>
      <c r="I90" s="1" t="n">
        <v>1</v>
      </c>
      <c r="J90" s="7" t="n">
        <v>1</v>
      </c>
      <c r="K90" s="1" t="s">
        <v>401</v>
      </c>
      <c r="U90" s="1" t="n">
        <f aca="false">1+U89</f>
        <v>36</v>
      </c>
      <c r="V90" s="1" t="n">
        <v>4</v>
      </c>
      <c r="W90" s="1" t="n">
        <v>1</v>
      </c>
      <c r="X90" s="1" t="n">
        <v>0</v>
      </c>
      <c r="Y90" s="1" t="s">
        <v>376</v>
      </c>
      <c r="Z90" s="1"/>
      <c r="AA90" s="1"/>
      <c r="AB90" s="1"/>
      <c r="AC90" s="1"/>
      <c r="AD90" s="1"/>
      <c r="AI90" s="0"/>
      <c r="AJ90" s="0"/>
      <c r="AK90" s="0"/>
      <c r="AL90" s="0"/>
    </row>
    <row r="91" customFormat="false" ht="14.1" hidden="false" customHeight="true" outlineLevel="0" collapsed="false">
      <c r="A91" s="1" t="n">
        <f aca="false">1+A90</f>
        <v>15</v>
      </c>
      <c r="B91" s="1" t="n">
        <v>5</v>
      </c>
      <c r="C91" s="1" t="n">
        <v>1</v>
      </c>
      <c r="D91" s="7" t="n">
        <v>1</v>
      </c>
      <c r="E91" s="1" t="s">
        <v>402</v>
      </c>
      <c r="G91" s="1" t="n">
        <f aca="false">1+G90</f>
        <v>16</v>
      </c>
      <c r="H91" s="1" t="n">
        <v>6</v>
      </c>
      <c r="I91" s="1" t="n">
        <v>1</v>
      </c>
      <c r="J91" s="7" t="n">
        <v>1</v>
      </c>
      <c r="K91" s="1" t="s">
        <v>401</v>
      </c>
      <c r="U91" s="1" t="n">
        <f aca="false">1+U90</f>
        <v>37</v>
      </c>
      <c r="V91" s="1" t="n">
        <v>4</v>
      </c>
      <c r="W91" s="1" t="n">
        <v>1</v>
      </c>
      <c r="X91" s="1" t="n">
        <v>0</v>
      </c>
      <c r="Y91" s="1" t="s">
        <v>376</v>
      </c>
      <c r="Z91" s="1"/>
      <c r="AA91" s="1"/>
      <c r="AB91" s="1"/>
      <c r="AC91" s="1"/>
      <c r="AD91" s="1"/>
      <c r="AI91" s="0"/>
      <c r="AJ91" s="0"/>
      <c r="AK91" s="0"/>
      <c r="AL91" s="0"/>
    </row>
    <row r="92" customFormat="false" ht="14.1" hidden="false" customHeight="true" outlineLevel="0" collapsed="false">
      <c r="A92" s="1" t="n">
        <f aca="false">1+A91</f>
        <v>16</v>
      </c>
      <c r="B92" s="1" t="n">
        <v>5</v>
      </c>
      <c r="C92" s="1" t="n">
        <v>1</v>
      </c>
      <c r="D92" s="7" t="n">
        <v>1</v>
      </c>
      <c r="E92" s="1" t="s">
        <v>402</v>
      </c>
      <c r="G92" s="1" t="n">
        <f aca="false">1+G91</f>
        <v>17</v>
      </c>
      <c r="H92" s="1" t="n">
        <v>6</v>
      </c>
      <c r="I92" s="1" t="n">
        <v>1</v>
      </c>
      <c r="J92" s="7" t="n">
        <v>1</v>
      </c>
      <c r="K92" s="1" t="s">
        <v>401</v>
      </c>
      <c r="U92" s="1" t="n">
        <f aca="false">1+U91</f>
        <v>38</v>
      </c>
      <c r="V92" s="1" t="n">
        <v>4</v>
      </c>
      <c r="W92" s="1" t="n">
        <v>1</v>
      </c>
      <c r="X92" s="1" t="n">
        <v>0</v>
      </c>
      <c r="Y92" s="1" t="s">
        <v>376</v>
      </c>
      <c r="Z92" s="1"/>
      <c r="AA92" s="1"/>
      <c r="AB92" s="1"/>
      <c r="AC92" s="1"/>
      <c r="AD92" s="1"/>
      <c r="AI92" s="0"/>
      <c r="AJ92" s="0"/>
      <c r="AK92" s="0"/>
      <c r="AL92" s="0"/>
    </row>
    <row r="93" customFormat="false" ht="14.1" hidden="false" customHeight="true" outlineLevel="0" collapsed="false">
      <c r="A93" s="1" t="n">
        <f aca="false">1+A92</f>
        <v>17</v>
      </c>
      <c r="B93" s="1" t="n">
        <v>6</v>
      </c>
      <c r="C93" s="1" t="n">
        <v>1</v>
      </c>
      <c r="D93" s="7" t="n">
        <v>1</v>
      </c>
      <c r="E93" s="1" t="s">
        <v>402</v>
      </c>
      <c r="G93" s="1" t="n">
        <f aca="false">1+G92</f>
        <v>18</v>
      </c>
      <c r="H93" s="1" t="n">
        <v>6</v>
      </c>
      <c r="I93" s="1" t="n">
        <v>1</v>
      </c>
      <c r="J93" s="7" t="n">
        <v>1</v>
      </c>
      <c r="K93" s="1" t="s">
        <v>401</v>
      </c>
      <c r="U93" s="1" t="n">
        <f aca="false">1+U92</f>
        <v>39</v>
      </c>
      <c r="V93" s="1" t="n">
        <v>4</v>
      </c>
      <c r="W93" s="1" t="n">
        <v>1</v>
      </c>
      <c r="X93" s="1" t="n">
        <v>0</v>
      </c>
      <c r="Y93" s="1" t="s">
        <v>376</v>
      </c>
      <c r="Z93" s="1"/>
      <c r="AA93" s="1"/>
      <c r="AB93" s="1"/>
      <c r="AC93" s="1"/>
      <c r="AD93" s="1"/>
      <c r="AI93" s="0"/>
      <c r="AJ93" s="0"/>
      <c r="AK93" s="0"/>
      <c r="AL93" s="0"/>
    </row>
    <row r="94" customFormat="false" ht="14.1" hidden="false" customHeight="true" outlineLevel="0" collapsed="false">
      <c r="A94" s="1" t="n">
        <f aca="false">1+A93</f>
        <v>18</v>
      </c>
      <c r="B94" s="1" t="n">
        <v>6</v>
      </c>
      <c r="C94" s="1" t="n">
        <v>1</v>
      </c>
      <c r="D94" s="7" t="n">
        <v>1</v>
      </c>
      <c r="E94" s="1" t="s">
        <v>402</v>
      </c>
      <c r="G94" s="1" t="n">
        <f aca="false">1+G93</f>
        <v>19</v>
      </c>
      <c r="H94" s="1" t="n">
        <v>6</v>
      </c>
      <c r="I94" s="1" t="n">
        <v>1</v>
      </c>
      <c r="J94" s="7" t="n">
        <v>1</v>
      </c>
      <c r="K94" s="1" t="s">
        <v>401</v>
      </c>
      <c r="U94" s="1" t="n">
        <f aca="false">1+U93</f>
        <v>40</v>
      </c>
      <c r="V94" s="1" t="n">
        <v>4</v>
      </c>
      <c r="W94" s="1" t="n">
        <v>1</v>
      </c>
      <c r="X94" s="1" t="n">
        <v>0</v>
      </c>
      <c r="Y94" s="1" t="s">
        <v>376</v>
      </c>
      <c r="Z94" s="1"/>
      <c r="AA94" s="1"/>
      <c r="AB94" s="1"/>
      <c r="AC94" s="1"/>
      <c r="AD94" s="1"/>
      <c r="AI94" s="0"/>
      <c r="AJ94" s="0"/>
      <c r="AK94" s="0"/>
      <c r="AL94" s="0"/>
    </row>
    <row r="95" customFormat="false" ht="14.1" hidden="false" customHeight="true" outlineLevel="0" collapsed="false">
      <c r="A95" s="1" t="n">
        <f aca="false">1+A94</f>
        <v>19</v>
      </c>
      <c r="B95" s="1" t="n">
        <v>6</v>
      </c>
      <c r="C95" s="1" t="n">
        <v>1</v>
      </c>
      <c r="D95" s="7" t="n">
        <v>1</v>
      </c>
      <c r="E95" s="1" t="s">
        <v>402</v>
      </c>
      <c r="G95" s="1" t="n">
        <f aca="false">1+G94</f>
        <v>20</v>
      </c>
      <c r="H95" s="1" t="n">
        <v>6</v>
      </c>
      <c r="I95" s="1" t="n">
        <v>1</v>
      </c>
      <c r="J95" s="7" t="n">
        <v>1</v>
      </c>
      <c r="K95" s="1" t="s">
        <v>401</v>
      </c>
      <c r="U95" s="1" t="n">
        <f aca="false">1+U94</f>
        <v>41</v>
      </c>
      <c r="V95" s="1" t="n">
        <v>4</v>
      </c>
      <c r="W95" s="1" t="n">
        <v>1</v>
      </c>
      <c r="X95" s="1" t="n">
        <v>0</v>
      </c>
      <c r="Y95" s="1" t="s">
        <v>376</v>
      </c>
      <c r="Z95" s="1"/>
      <c r="AA95" s="1"/>
      <c r="AB95" s="1"/>
      <c r="AC95" s="1"/>
      <c r="AD95" s="1"/>
      <c r="AI95" s="0"/>
      <c r="AJ95" s="0"/>
      <c r="AK95" s="0"/>
      <c r="AL95" s="0"/>
    </row>
    <row r="96" customFormat="false" ht="14.1" hidden="false" customHeight="true" outlineLevel="0" collapsed="false">
      <c r="A96" s="1" t="n">
        <f aca="false">1+A95</f>
        <v>20</v>
      </c>
      <c r="B96" s="1" t="n">
        <v>6</v>
      </c>
      <c r="C96" s="1" t="n">
        <v>1</v>
      </c>
      <c r="D96" s="7" t="n">
        <v>1</v>
      </c>
      <c r="E96" s="1" t="s">
        <v>402</v>
      </c>
      <c r="G96" s="1" t="n">
        <f aca="false">1+G95</f>
        <v>21</v>
      </c>
      <c r="H96" s="1" t="n">
        <v>6</v>
      </c>
      <c r="I96" s="1" t="n">
        <v>1</v>
      </c>
      <c r="J96" s="7" t="n">
        <v>1</v>
      </c>
      <c r="K96" s="1" t="s">
        <v>401</v>
      </c>
      <c r="U96" s="1" t="n">
        <f aca="false">1+U95</f>
        <v>42</v>
      </c>
      <c r="V96" s="1" t="n">
        <v>4</v>
      </c>
      <c r="W96" s="1" t="n">
        <v>1</v>
      </c>
      <c r="X96" s="1" t="n">
        <v>0</v>
      </c>
      <c r="Y96" s="1" t="s">
        <v>376</v>
      </c>
      <c r="Z96" s="1"/>
      <c r="AA96" s="1"/>
      <c r="AB96" s="1"/>
      <c r="AC96" s="1"/>
      <c r="AD96" s="1"/>
      <c r="AI96" s="0"/>
      <c r="AJ96" s="0"/>
      <c r="AK96" s="0"/>
      <c r="AL96" s="0"/>
    </row>
    <row r="97" customFormat="false" ht="14.1" hidden="false" customHeight="true" outlineLevel="0" collapsed="false">
      <c r="A97" s="1" t="n">
        <f aca="false">1+A96</f>
        <v>21</v>
      </c>
      <c r="B97" s="1" t="n">
        <v>7</v>
      </c>
      <c r="C97" s="1" t="n">
        <v>1</v>
      </c>
      <c r="D97" s="7" t="n">
        <v>1</v>
      </c>
      <c r="E97" s="1" t="s">
        <v>402</v>
      </c>
      <c r="G97" s="1" t="n">
        <f aca="false">1+G96</f>
        <v>22</v>
      </c>
      <c r="H97" s="1" t="n">
        <v>7</v>
      </c>
      <c r="I97" s="1" t="n">
        <v>1</v>
      </c>
      <c r="J97" s="7" t="n">
        <v>1</v>
      </c>
      <c r="K97" s="1" t="s">
        <v>401</v>
      </c>
      <c r="U97" s="1" t="n">
        <f aca="false">1+U96</f>
        <v>43</v>
      </c>
      <c r="V97" s="1" t="n">
        <v>4</v>
      </c>
      <c r="W97" s="1" t="n">
        <v>1</v>
      </c>
      <c r="X97" s="1" t="n">
        <v>0</v>
      </c>
      <c r="Y97" s="1" t="s">
        <v>376</v>
      </c>
      <c r="Z97" s="1"/>
      <c r="AA97" s="1"/>
      <c r="AB97" s="1"/>
      <c r="AC97" s="1"/>
      <c r="AD97" s="1"/>
      <c r="AI97" s="0"/>
      <c r="AJ97" s="0"/>
      <c r="AK97" s="0"/>
      <c r="AL97" s="0"/>
    </row>
    <row r="98" customFormat="false" ht="14.1" hidden="false" customHeight="true" outlineLevel="0" collapsed="false">
      <c r="A98" s="1" t="n">
        <f aca="false">1+A97</f>
        <v>22</v>
      </c>
      <c r="B98" s="1" t="n">
        <v>7</v>
      </c>
      <c r="C98" s="1" t="n">
        <v>1</v>
      </c>
      <c r="D98" s="7" t="n">
        <v>1</v>
      </c>
      <c r="E98" s="1" t="s">
        <v>402</v>
      </c>
      <c r="G98" s="1" t="n">
        <f aca="false">1+G97</f>
        <v>23</v>
      </c>
      <c r="H98" s="1" t="n">
        <v>7</v>
      </c>
      <c r="I98" s="1" t="n">
        <v>1</v>
      </c>
      <c r="J98" s="7" t="n">
        <v>1</v>
      </c>
      <c r="K98" s="1" t="s">
        <v>401</v>
      </c>
      <c r="U98" s="1" t="n">
        <f aca="false">1+U97</f>
        <v>44</v>
      </c>
      <c r="V98" s="1" t="n">
        <v>4</v>
      </c>
      <c r="W98" s="1" t="n">
        <v>1</v>
      </c>
      <c r="X98" s="1" t="n">
        <v>0</v>
      </c>
      <c r="Y98" s="1" t="s">
        <v>376</v>
      </c>
      <c r="Z98" s="1"/>
      <c r="AA98" s="1"/>
      <c r="AB98" s="1"/>
      <c r="AC98" s="1"/>
      <c r="AD98" s="1"/>
      <c r="AI98" s="0"/>
      <c r="AJ98" s="0"/>
      <c r="AK98" s="0"/>
      <c r="AL98" s="0"/>
    </row>
    <row r="99" customFormat="false" ht="14.1" hidden="false" customHeight="true" outlineLevel="0" collapsed="false">
      <c r="A99" s="1" t="n">
        <f aca="false">1+A98</f>
        <v>23</v>
      </c>
      <c r="B99" s="1" t="n">
        <v>7</v>
      </c>
      <c r="C99" s="1" t="n">
        <v>1</v>
      </c>
      <c r="D99" s="7" t="n">
        <v>1</v>
      </c>
      <c r="E99" s="1" t="s">
        <v>402</v>
      </c>
      <c r="G99" s="1" t="n">
        <f aca="false">1+G98</f>
        <v>24</v>
      </c>
      <c r="H99" s="1" t="n">
        <v>8</v>
      </c>
      <c r="I99" s="1" t="n">
        <v>1</v>
      </c>
      <c r="J99" s="7" t="n">
        <v>1</v>
      </c>
      <c r="K99" s="1" t="s">
        <v>401</v>
      </c>
      <c r="U99" s="1" t="n">
        <f aca="false">1+U98</f>
        <v>45</v>
      </c>
      <c r="V99" s="1" t="n">
        <v>4</v>
      </c>
      <c r="W99" s="1" t="n">
        <v>1</v>
      </c>
      <c r="X99" s="1" t="n">
        <v>0</v>
      </c>
      <c r="Y99" s="1" t="s">
        <v>376</v>
      </c>
      <c r="Z99" s="1"/>
      <c r="AA99" s="1"/>
      <c r="AB99" s="1"/>
      <c r="AC99" s="1"/>
      <c r="AD99" s="1"/>
      <c r="AI99" s="0"/>
      <c r="AJ99" s="0"/>
      <c r="AK99" s="0"/>
      <c r="AL99" s="0"/>
    </row>
    <row r="100" customFormat="false" ht="14.1" hidden="false" customHeight="true" outlineLevel="0" collapsed="false">
      <c r="A100" s="1" t="n">
        <f aca="false">1+A99</f>
        <v>24</v>
      </c>
      <c r="B100" s="1" t="n">
        <v>7</v>
      </c>
      <c r="C100" s="1" t="n">
        <v>1</v>
      </c>
      <c r="D100" s="7" t="n">
        <v>1</v>
      </c>
      <c r="E100" s="1" t="s">
        <v>402</v>
      </c>
      <c r="G100" s="1" t="n">
        <f aca="false">1+G99</f>
        <v>25</v>
      </c>
      <c r="H100" s="1" t="n">
        <v>8</v>
      </c>
      <c r="I100" s="1" t="n">
        <v>1</v>
      </c>
      <c r="J100" s="7" t="n">
        <v>1</v>
      </c>
      <c r="K100" s="1" t="s">
        <v>401</v>
      </c>
      <c r="U100" s="1" t="n">
        <f aca="false">1+U99</f>
        <v>46</v>
      </c>
      <c r="V100" s="1" t="n">
        <v>4</v>
      </c>
      <c r="W100" s="1" t="n">
        <v>1</v>
      </c>
      <c r="X100" s="1" t="n">
        <v>0</v>
      </c>
      <c r="Y100" s="1" t="s">
        <v>376</v>
      </c>
      <c r="Z100" s="1"/>
      <c r="AA100" s="1"/>
      <c r="AB100" s="1"/>
      <c r="AC100" s="1"/>
      <c r="AD100" s="1"/>
      <c r="AI100" s="0"/>
      <c r="AJ100" s="0"/>
      <c r="AK100" s="0"/>
      <c r="AL100" s="0"/>
    </row>
    <row r="101" customFormat="false" ht="14.1" hidden="false" customHeight="true" outlineLevel="0" collapsed="false">
      <c r="A101" s="1" t="n">
        <f aca="false">1+A100</f>
        <v>25</v>
      </c>
      <c r="B101" s="1" t="n">
        <v>8</v>
      </c>
      <c r="C101" s="1" t="n">
        <v>1</v>
      </c>
      <c r="D101" s="7" t="n">
        <v>1</v>
      </c>
      <c r="E101" s="1" t="s">
        <v>402</v>
      </c>
      <c r="G101" s="1" t="n">
        <f aca="false">1+G100</f>
        <v>26</v>
      </c>
      <c r="H101" s="1" t="n">
        <v>8</v>
      </c>
      <c r="I101" s="1" t="n">
        <v>1</v>
      </c>
      <c r="J101" s="7" t="n">
        <v>1</v>
      </c>
      <c r="K101" s="1" t="s">
        <v>401</v>
      </c>
      <c r="U101" s="1" t="n">
        <f aca="false">1+U100</f>
        <v>47</v>
      </c>
      <c r="V101" s="1" t="n">
        <v>4</v>
      </c>
      <c r="W101" s="1" t="n">
        <v>1</v>
      </c>
      <c r="X101" s="1" t="n">
        <v>0</v>
      </c>
      <c r="Y101" s="1" t="s">
        <v>376</v>
      </c>
      <c r="Z101" s="1"/>
      <c r="AA101" s="1"/>
      <c r="AB101" s="1"/>
      <c r="AC101" s="1"/>
      <c r="AD101" s="1"/>
      <c r="AI101" s="0"/>
      <c r="AJ101" s="0"/>
      <c r="AK101" s="0"/>
      <c r="AL101" s="0"/>
    </row>
    <row r="102" customFormat="false" ht="14.1" hidden="false" customHeight="true" outlineLevel="0" collapsed="false">
      <c r="A102" s="1" t="n">
        <f aca="false">1+A101</f>
        <v>26</v>
      </c>
      <c r="B102" s="1" t="n">
        <v>8</v>
      </c>
      <c r="C102" s="1" t="n">
        <v>1</v>
      </c>
      <c r="D102" s="7" t="n">
        <v>1</v>
      </c>
      <c r="E102" s="1" t="s">
        <v>402</v>
      </c>
      <c r="G102" s="1" t="n">
        <f aca="false">1+G101</f>
        <v>27</v>
      </c>
      <c r="H102" s="1" t="n">
        <v>9</v>
      </c>
      <c r="I102" s="1" t="n">
        <v>1</v>
      </c>
      <c r="J102" s="7" t="n">
        <v>1</v>
      </c>
      <c r="K102" s="1" t="s">
        <v>401</v>
      </c>
      <c r="U102" s="1" t="n">
        <f aca="false">1+U101</f>
        <v>48</v>
      </c>
      <c r="V102" s="1" t="n">
        <v>4</v>
      </c>
      <c r="W102" s="1" t="n">
        <v>1</v>
      </c>
      <c r="X102" s="1" t="n">
        <v>0</v>
      </c>
      <c r="Y102" s="1" t="s">
        <v>376</v>
      </c>
      <c r="Z102" s="1"/>
      <c r="AA102" s="1"/>
      <c r="AB102" s="1"/>
      <c r="AC102" s="1"/>
      <c r="AD102" s="1"/>
      <c r="AI102" s="0"/>
      <c r="AJ102" s="0"/>
      <c r="AK102" s="0"/>
      <c r="AL102" s="0"/>
    </row>
    <row r="103" customFormat="false" ht="14.1" hidden="false" customHeight="true" outlineLevel="0" collapsed="false">
      <c r="A103" s="1" t="n">
        <f aca="false">1+A102</f>
        <v>27</v>
      </c>
      <c r="B103" s="1" t="n">
        <v>8</v>
      </c>
      <c r="C103" s="1" t="n">
        <v>1</v>
      </c>
      <c r="D103" s="7" t="n">
        <v>1</v>
      </c>
      <c r="E103" s="1" t="s">
        <v>402</v>
      </c>
      <c r="G103" s="1" t="n">
        <f aca="false">1+G102</f>
        <v>28</v>
      </c>
      <c r="H103" s="1" t="n">
        <v>10</v>
      </c>
      <c r="I103" s="1" t="n">
        <v>1</v>
      </c>
      <c r="J103" s="7" t="n">
        <v>1</v>
      </c>
      <c r="K103" s="1" t="s">
        <v>401</v>
      </c>
      <c r="U103" s="1" t="n">
        <f aca="false">1+U102</f>
        <v>49</v>
      </c>
      <c r="V103" s="1" t="n">
        <v>4</v>
      </c>
      <c r="W103" s="1" t="n">
        <v>1</v>
      </c>
      <c r="X103" s="1" t="n">
        <v>0</v>
      </c>
      <c r="Y103" s="1" t="s">
        <v>376</v>
      </c>
      <c r="Z103" s="1"/>
      <c r="AA103" s="1"/>
      <c r="AB103" s="1"/>
      <c r="AC103" s="1"/>
      <c r="AD103" s="1"/>
      <c r="AI103" s="0"/>
      <c r="AJ103" s="0"/>
      <c r="AK103" s="0"/>
      <c r="AL103" s="0"/>
    </row>
    <row r="104" customFormat="false" ht="14.1" hidden="false" customHeight="true" outlineLevel="0" collapsed="false">
      <c r="A104" s="1" t="n">
        <f aca="false">1+A103</f>
        <v>28</v>
      </c>
      <c r="B104" s="1" t="n">
        <v>9</v>
      </c>
      <c r="C104" s="1" t="n">
        <v>1</v>
      </c>
      <c r="D104" s="7" t="n">
        <v>1</v>
      </c>
      <c r="E104" s="1" t="s">
        <v>402</v>
      </c>
      <c r="G104" s="1" t="n">
        <f aca="false">1+G103</f>
        <v>29</v>
      </c>
      <c r="H104" s="1" t="n">
        <v>10</v>
      </c>
      <c r="I104" s="1" t="n">
        <v>1</v>
      </c>
      <c r="J104" s="7" t="n">
        <v>1</v>
      </c>
      <c r="K104" s="1" t="s">
        <v>401</v>
      </c>
      <c r="U104" s="1" t="n">
        <f aca="false">1+U103</f>
        <v>50</v>
      </c>
      <c r="V104" s="1" t="n">
        <v>4</v>
      </c>
      <c r="W104" s="1" t="n">
        <v>1</v>
      </c>
      <c r="X104" s="1" t="n">
        <v>0</v>
      </c>
      <c r="Y104" s="1" t="s">
        <v>376</v>
      </c>
      <c r="Z104" s="1"/>
      <c r="AA104" s="1"/>
      <c r="AB104" s="1"/>
      <c r="AC104" s="1"/>
      <c r="AD104" s="1"/>
      <c r="AI104" s="0"/>
      <c r="AJ104" s="0"/>
      <c r="AK104" s="0"/>
      <c r="AL104" s="0"/>
    </row>
    <row r="105" customFormat="false" ht="14.1" hidden="false" customHeight="true" outlineLevel="0" collapsed="false">
      <c r="A105" s="1" t="n">
        <f aca="false">1+A104</f>
        <v>29</v>
      </c>
      <c r="B105" s="1" t="n">
        <v>9</v>
      </c>
      <c r="C105" s="1" t="n">
        <v>1</v>
      </c>
      <c r="D105" s="7" t="n">
        <v>1</v>
      </c>
      <c r="E105" s="1" t="s">
        <v>402</v>
      </c>
      <c r="G105" s="1" t="n">
        <f aca="false">1+G104</f>
        <v>30</v>
      </c>
      <c r="H105" s="1" t="n">
        <v>11</v>
      </c>
      <c r="I105" s="1" t="n">
        <v>0</v>
      </c>
      <c r="J105" s="7" t="n">
        <v>1</v>
      </c>
      <c r="K105" s="1" t="s">
        <v>401</v>
      </c>
      <c r="U105" s="1" t="n">
        <f aca="false">1+U104</f>
        <v>51</v>
      </c>
      <c r="V105" s="1" t="n">
        <v>4</v>
      </c>
      <c r="W105" s="1" t="n">
        <v>1</v>
      </c>
      <c r="X105" s="1" t="n">
        <v>0</v>
      </c>
      <c r="Y105" s="1" t="s">
        <v>376</v>
      </c>
      <c r="Z105" s="1"/>
      <c r="AA105" s="1"/>
      <c r="AB105" s="1"/>
      <c r="AC105" s="1"/>
      <c r="AD105" s="1"/>
      <c r="AI105" s="0"/>
      <c r="AJ105" s="0"/>
      <c r="AK105" s="0"/>
      <c r="AL105" s="0"/>
    </row>
    <row r="106" customFormat="false" ht="14.1" hidden="false" customHeight="true" outlineLevel="0" collapsed="false">
      <c r="A106" s="1" t="n">
        <f aca="false">1+A105</f>
        <v>30</v>
      </c>
      <c r="B106" s="1" t="n">
        <v>10</v>
      </c>
      <c r="C106" s="1" t="n">
        <v>1</v>
      </c>
      <c r="D106" s="7" t="n">
        <v>1</v>
      </c>
      <c r="E106" s="1" t="s">
        <v>402</v>
      </c>
      <c r="G106" s="1" t="n">
        <f aca="false">1+G105</f>
        <v>31</v>
      </c>
      <c r="H106" s="1" t="n">
        <v>11</v>
      </c>
      <c r="I106" s="1" t="n">
        <v>0</v>
      </c>
      <c r="J106" s="7" t="n">
        <v>1</v>
      </c>
      <c r="K106" s="1" t="s">
        <v>401</v>
      </c>
      <c r="U106" s="1" t="n">
        <f aca="false">1+U105</f>
        <v>52</v>
      </c>
      <c r="V106" s="1" t="n">
        <v>5</v>
      </c>
      <c r="W106" s="1" t="n">
        <v>1</v>
      </c>
      <c r="X106" s="1" t="n">
        <v>0</v>
      </c>
      <c r="Y106" s="1" t="s">
        <v>376</v>
      </c>
      <c r="Z106" s="1"/>
      <c r="AA106" s="1"/>
      <c r="AB106" s="1"/>
      <c r="AC106" s="1"/>
      <c r="AD106" s="1"/>
      <c r="AI106" s="0"/>
      <c r="AJ106" s="0"/>
      <c r="AK106" s="0"/>
      <c r="AL106" s="0"/>
    </row>
    <row r="107" customFormat="false" ht="14.1" hidden="false" customHeight="true" outlineLevel="0" collapsed="false">
      <c r="A107" s="1" t="n">
        <f aca="false">1+A106</f>
        <v>31</v>
      </c>
      <c r="B107" s="1" t="n">
        <v>10</v>
      </c>
      <c r="C107" s="1" t="n">
        <v>1</v>
      </c>
      <c r="D107" s="7" t="n">
        <v>1</v>
      </c>
      <c r="E107" s="1" t="s">
        <v>402</v>
      </c>
      <c r="G107" s="1" t="n">
        <f aca="false">1+G106</f>
        <v>32</v>
      </c>
      <c r="H107" s="1" t="n">
        <v>11</v>
      </c>
      <c r="I107" s="1" t="n">
        <v>0</v>
      </c>
      <c r="J107" s="7" t="n">
        <v>1</v>
      </c>
      <c r="K107" s="1" t="s">
        <v>401</v>
      </c>
      <c r="U107" s="1" t="n">
        <f aca="false">1+U106</f>
        <v>53</v>
      </c>
      <c r="V107" s="1" t="n">
        <v>5</v>
      </c>
      <c r="W107" s="1" t="n">
        <v>1</v>
      </c>
      <c r="X107" s="1" t="n">
        <v>0</v>
      </c>
      <c r="Y107" s="1" t="s">
        <v>376</v>
      </c>
      <c r="Z107" s="1"/>
      <c r="AA107" s="1"/>
      <c r="AB107" s="1"/>
      <c r="AC107" s="1"/>
      <c r="AD107" s="1"/>
      <c r="AI107" s="0"/>
      <c r="AJ107" s="0"/>
      <c r="AK107" s="0"/>
      <c r="AL107" s="0"/>
    </row>
    <row r="108" customFormat="false" ht="14.1" hidden="false" customHeight="true" outlineLevel="0" collapsed="false">
      <c r="A108" s="1" t="n">
        <f aca="false">1+A107</f>
        <v>32</v>
      </c>
      <c r="B108" s="1" t="n">
        <v>10</v>
      </c>
      <c r="C108" s="1" t="n">
        <v>1</v>
      </c>
      <c r="D108" s="7" t="n">
        <v>1</v>
      </c>
      <c r="E108" s="1" t="s">
        <v>402</v>
      </c>
      <c r="G108" s="1" t="n">
        <f aca="false">1+G107</f>
        <v>33</v>
      </c>
      <c r="H108" s="1" t="n">
        <v>11</v>
      </c>
      <c r="I108" s="1" t="n">
        <v>0</v>
      </c>
      <c r="J108" s="7" t="n">
        <v>1</v>
      </c>
      <c r="K108" s="1" t="s">
        <v>401</v>
      </c>
      <c r="U108" s="1" t="n">
        <f aca="false">1+U107</f>
        <v>54</v>
      </c>
      <c r="V108" s="1" t="n">
        <v>5</v>
      </c>
      <c r="W108" s="1" t="n">
        <v>1</v>
      </c>
      <c r="X108" s="1" t="n">
        <v>0</v>
      </c>
      <c r="Y108" s="1" t="s">
        <v>376</v>
      </c>
      <c r="Z108" s="1"/>
      <c r="AA108" s="1"/>
      <c r="AB108" s="1"/>
      <c r="AC108" s="1"/>
      <c r="AD108" s="1"/>
      <c r="AI108" s="0"/>
      <c r="AJ108" s="0"/>
      <c r="AK108" s="0"/>
      <c r="AL108" s="0"/>
    </row>
    <row r="109" customFormat="false" ht="14.1" hidden="false" customHeight="true" outlineLevel="0" collapsed="false">
      <c r="A109" s="1" t="n">
        <f aca="false">1+A108</f>
        <v>33</v>
      </c>
      <c r="B109" s="1" t="n">
        <v>10</v>
      </c>
      <c r="C109" s="1" t="n">
        <v>1</v>
      </c>
      <c r="D109" s="7" t="n">
        <v>1</v>
      </c>
      <c r="E109" s="1" t="s">
        <v>402</v>
      </c>
      <c r="G109" s="1" t="n">
        <f aca="false">1+G108</f>
        <v>34</v>
      </c>
      <c r="H109" s="1" t="n">
        <v>11</v>
      </c>
      <c r="I109" s="1" t="n">
        <v>0</v>
      </c>
      <c r="J109" s="7" t="n">
        <v>1</v>
      </c>
      <c r="K109" s="1" t="s">
        <v>401</v>
      </c>
      <c r="U109" s="1" t="n">
        <f aca="false">1+U108</f>
        <v>55</v>
      </c>
      <c r="V109" s="1" t="n">
        <v>5</v>
      </c>
      <c r="W109" s="1" t="n">
        <v>1</v>
      </c>
      <c r="X109" s="1" t="n">
        <v>0</v>
      </c>
      <c r="Y109" s="1" t="s">
        <v>376</v>
      </c>
      <c r="Z109" s="1"/>
      <c r="AA109" s="1"/>
      <c r="AB109" s="1"/>
      <c r="AC109" s="1"/>
      <c r="AD109" s="1"/>
      <c r="AI109" s="0"/>
      <c r="AJ109" s="0"/>
      <c r="AK109" s="0"/>
      <c r="AL109" s="0"/>
    </row>
    <row r="110" customFormat="false" ht="14.1" hidden="false" customHeight="true" outlineLevel="0" collapsed="false">
      <c r="A110" s="1" t="n">
        <f aca="false">1+A109</f>
        <v>34</v>
      </c>
      <c r="B110" s="1" t="n">
        <v>11</v>
      </c>
      <c r="C110" s="1" t="n">
        <v>0</v>
      </c>
      <c r="D110" s="7" t="n">
        <v>1</v>
      </c>
      <c r="E110" s="1" t="s">
        <v>402</v>
      </c>
      <c r="G110" s="1" t="n">
        <f aca="false">1+G109</f>
        <v>35</v>
      </c>
      <c r="H110" s="1" t="n">
        <v>11</v>
      </c>
      <c r="I110" s="1" t="n">
        <v>0</v>
      </c>
      <c r="J110" s="7" t="n">
        <v>1</v>
      </c>
      <c r="K110" s="1" t="s">
        <v>401</v>
      </c>
      <c r="U110" s="1" t="n">
        <f aca="false">1+U109</f>
        <v>56</v>
      </c>
      <c r="V110" s="1" t="n">
        <v>5</v>
      </c>
      <c r="W110" s="1" t="n">
        <v>1</v>
      </c>
      <c r="X110" s="1" t="n">
        <v>0</v>
      </c>
      <c r="Y110" s="1" t="s">
        <v>376</v>
      </c>
      <c r="Z110" s="1"/>
      <c r="AA110" s="1"/>
      <c r="AB110" s="1"/>
      <c r="AC110" s="1"/>
      <c r="AD110" s="1"/>
      <c r="AI110" s="0"/>
      <c r="AJ110" s="0"/>
      <c r="AK110" s="0"/>
      <c r="AL110" s="0"/>
    </row>
    <row r="111" customFormat="false" ht="14.1" hidden="false" customHeight="true" outlineLevel="0" collapsed="false">
      <c r="A111" s="1" t="n">
        <f aca="false">1+A110</f>
        <v>35</v>
      </c>
      <c r="B111" s="1" t="n">
        <v>11</v>
      </c>
      <c r="C111" s="1" t="n">
        <v>0</v>
      </c>
      <c r="D111" s="7" t="n">
        <v>1</v>
      </c>
      <c r="E111" s="1" t="s">
        <v>402</v>
      </c>
      <c r="U111" s="1" t="n">
        <f aca="false">1+U110</f>
        <v>57</v>
      </c>
      <c r="V111" s="1" t="n">
        <v>5</v>
      </c>
      <c r="W111" s="1" t="n">
        <v>1</v>
      </c>
      <c r="X111" s="1" t="n">
        <v>0</v>
      </c>
      <c r="Y111" s="1" t="s">
        <v>376</v>
      </c>
      <c r="Z111" s="1"/>
      <c r="AA111" s="1"/>
      <c r="AB111" s="1"/>
      <c r="AC111" s="1"/>
      <c r="AD111" s="1"/>
      <c r="AI111" s="0"/>
      <c r="AJ111" s="0"/>
      <c r="AK111" s="0"/>
      <c r="AL111" s="0"/>
    </row>
    <row r="112" customFormat="false" ht="14.1" hidden="false" customHeight="true" outlineLevel="0" collapsed="false">
      <c r="A112" s="1" t="n">
        <f aca="false">1+A111</f>
        <v>36</v>
      </c>
      <c r="B112" s="1" t="n">
        <v>11</v>
      </c>
      <c r="C112" s="1" t="n">
        <v>0</v>
      </c>
      <c r="D112" s="7" t="n">
        <v>1</v>
      </c>
      <c r="E112" s="1" t="s">
        <v>402</v>
      </c>
      <c r="G112" s="1" t="n">
        <v>1</v>
      </c>
      <c r="H112" s="1" t="n">
        <v>3</v>
      </c>
      <c r="I112" s="1" t="n">
        <v>1</v>
      </c>
      <c r="J112" s="1" t="n">
        <v>0</v>
      </c>
      <c r="K112" s="1" t="s">
        <v>401</v>
      </c>
      <c r="U112" s="1" t="n">
        <f aca="false">1+U111</f>
        <v>58</v>
      </c>
      <c r="V112" s="1" t="n">
        <v>5</v>
      </c>
      <c r="W112" s="1" t="n">
        <v>1</v>
      </c>
      <c r="X112" s="1" t="n">
        <v>0</v>
      </c>
      <c r="Y112" s="1" t="s">
        <v>376</v>
      </c>
      <c r="Z112" s="1"/>
      <c r="AA112" s="1"/>
      <c r="AB112" s="1"/>
      <c r="AC112" s="1"/>
      <c r="AD112" s="1"/>
    </row>
    <row r="113" customFormat="false" ht="14.1" hidden="false" customHeight="true" outlineLevel="0" collapsed="false">
      <c r="A113" s="1" t="n">
        <f aca="false">1+A112</f>
        <v>37</v>
      </c>
      <c r="B113" s="1" t="n">
        <v>11</v>
      </c>
      <c r="C113" s="1" t="n">
        <v>0</v>
      </c>
      <c r="D113" s="7" t="n">
        <v>1</v>
      </c>
      <c r="E113" s="1" t="s">
        <v>402</v>
      </c>
      <c r="G113" s="1" t="n">
        <f aca="false">1+G112</f>
        <v>2</v>
      </c>
      <c r="H113" s="1" t="n">
        <v>3</v>
      </c>
      <c r="I113" s="1" t="n">
        <v>1</v>
      </c>
      <c r="J113" s="1" t="n">
        <v>0</v>
      </c>
      <c r="K113" s="1" t="s">
        <v>401</v>
      </c>
      <c r="U113" s="1" t="n">
        <f aca="false">1+U112</f>
        <v>59</v>
      </c>
      <c r="V113" s="1" t="n">
        <v>5</v>
      </c>
      <c r="W113" s="1" t="n">
        <v>1</v>
      </c>
      <c r="X113" s="1" t="n">
        <v>0</v>
      </c>
      <c r="Y113" s="1" t="s">
        <v>376</v>
      </c>
      <c r="Z113" s="1"/>
      <c r="AA113" s="1"/>
      <c r="AB113" s="1"/>
      <c r="AC113" s="1"/>
      <c r="AD113" s="1"/>
    </row>
    <row r="114" customFormat="false" ht="14.1" hidden="false" customHeight="true" outlineLevel="0" collapsed="false">
      <c r="A114" s="1" t="n">
        <f aca="false">1+A113</f>
        <v>38</v>
      </c>
      <c r="B114" s="1" t="n">
        <v>11</v>
      </c>
      <c r="C114" s="1" t="n">
        <v>0</v>
      </c>
      <c r="D114" s="7" t="n">
        <v>1</v>
      </c>
      <c r="E114" s="1" t="s">
        <v>402</v>
      </c>
      <c r="G114" s="1" t="n">
        <f aca="false">1+G113</f>
        <v>3</v>
      </c>
      <c r="H114" s="1" t="n">
        <v>3</v>
      </c>
      <c r="I114" s="1" t="n">
        <v>1</v>
      </c>
      <c r="J114" s="1" t="n">
        <v>0</v>
      </c>
      <c r="K114" s="1" t="s">
        <v>401</v>
      </c>
      <c r="U114" s="1" t="n">
        <f aca="false">1+U113</f>
        <v>60</v>
      </c>
      <c r="V114" s="1" t="n">
        <v>5</v>
      </c>
      <c r="W114" s="1" t="n">
        <v>1</v>
      </c>
      <c r="X114" s="1" t="n">
        <v>0</v>
      </c>
      <c r="Y114" s="1" t="s">
        <v>376</v>
      </c>
      <c r="Z114" s="1"/>
      <c r="AA114" s="1"/>
      <c r="AB114" s="1"/>
      <c r="AC114" s="1"/>
      <c r="AD114" s="1"/>
    </row>
    <row r="115" customFormat="false" ht="14.1" hidden="false" customHeight="true" outlineLevel="0" collapsed="false">
      <c r="A115" s="1" t="n">
        <f aca="false">1+A114</f>
        <v>39</v>
      </c>
      <c r="B115" s="1" t="n">
        <v>11</v>
      </c>
      <c r="C115" s="1" t="n">
        <v>0</v>
      </c>
      <c r="D115" s="7" t="n">
        <v>1</v>
      </c>
      <c r="E115" s="1" t="s">
        <v>402</v>
      </c>
      <c r="G115" s="1" t="n">
        <f aca="false">1+G114</f>
        <v>4</v>
      </c>
      <c r="H115" s="1" t="n">
        <v>4</v>
      </c>
      <c r="I115" s="1" t="n">
        <v>1</v>
      </c>
      <c r="J115" s="1" t="n">
        <v>0</v>
      </c>
      <c r="K115" s="1" t="s">
        <v>401</v>
      </c>
      <c r="U115" s="1" t="n">
        <f aca="false">1+U114</f>
        <v>61</v>
      </c>
      <c r="V115" s="1" t="n">
        <v>5</v>
      </c>
      <c r="W115" s="1" t="n">
        <v>1</v>
      </c>
      <c r="X115" s="1" t="n">
        <v>0</v>
      </c>
      <c r="Y115" s="1" t="s">
        <v>376</v>
      </c>
      <c r="Z115" s="1"/>
      <c r="AA115" s="1"/>
      <c r="AB115" s="1"/>
      <c r="AC115" s="1"/>
      <c r="AD115" s="1"/>
    </row>
    <row r="116" customFormat="false" ht="14.1" hidden="false" customHeight="true" outlineLevel="0" collapsed="false">
      <c r="G116" s="1" t="n">
        <f aca="false">1+G115</f>
        <v>5</v>
      </c>
      <c r="H116" s="1" t="n">
        <v>4</v>
      </c>
      <c r="I116" s="1" t="n">
        <v>1</v>
      </c>
      <c r="J116" s="1" t="n">
        <v>0</v>
      </c>
      <c r="K116" s="1" t="s">
        <v>401</v>
      </c>
      <c r="U116" s="1" t="n">
        <f aca="false">1+U115</f>
        <v>62</v>
      </c>
      <c r="V116" s="1" t="n">
        <v>5</v>
      </c>
      <c r="W116" s="1" t="n">
        <v>1</v>
      </c>
      <c r="X116" s="1" t="n">
        <v>0</v>
      </c>
      <c r="Y116" s="1" t="s">
        <v>376</v>
      </c>
      <c r="Z116" s="1"/>
      <c r="AA116" s="1"/>
      <c r="AB116" s="1"/>
      <c r="AC116" s="1"/>
      <c r="AD116" s="1"/>
    </row>
    <row r="117" customFormat="false" ht="14.1" hidden="false" customHeight="true" outlineLevel="0" collapsed="false">
      <c r="A117" s="1" t="n">
        <v>1</v>
      </c>
      <c r="B117" s="1" t="n">
        <v>3</v>
      </c>
      <c r="C117" s="1" t="n">
        <v>1</v>
      </c>
      <c r="D117" s="1" t="n">
        <v>0</v>
      </c>
      <c r="E117" s="1" t="s">
        <v>402</v>
      </c>
      <c r="G117" s="1" t="n">
        <f aca="false">1+G116</f>
        <v>6</v>
      </c>
      <c r="H117" s="1" t="n">
        <v>4</v>
      </c>
      <c r="I117" s="1" t="n">
        <v>1</v>
      </c>
      <c r="J117" s="1" t="n">
        <v>0</v>
      </c>
      <c r="K117" s="1" t="s">
        <v>401</v>
      </c>
      <c r="U117" s="1" t="n">
        <f aca="false">1+U116</f>
        <v>63</v>
      </c>
      <c r="V117" s="1" t="n">
        <v>5</v>
      </c>
      <c r="W117" s="1" t="n">
        <v>1</v>
      </c>
      <c r="X117" s="1" t="n">
        <v>0</v>
      </c>
      <c r="Y117" s="1" t="s">
        <v>376</v>
      </c>
      <c r="Z117" s="1"/>
      <c r="AA117" s="1"/>
      <c r="AB117" s="1"/>
      <c r="AC117" s="1"/>
      <c r="AD117" s="1"/>
    </row>
    <row r="118" customFormat="false" ht="14.1" hidden="false" customHeight="true" outlineLevel="0" collapsed="false">
      <c r="A118" s="1" t="n">
        <f aca="false">1+A117</f>
        <v>2</v>
      </c>
      <c r="B118" s="1" t="n">
        <v>3</v>
      </c>
      <c r="C118" s="1" t="n">
        <v>1</v>
      </c>
      <c r="D118" s="1" t="n">
        <v>0</v>
      </c>
      <c r="E118" s="1" t="s">
        <v>402</v>
      </c>
      <c r="G118" s="1" t="n">
        <f aca="false">1+G117</f>
        <v>7</v>
      </c>
      <c r="H118" s="1" t="n">
        <v>4</v>
      </c>
      <c r="I118" s="1" t="n">
        <v>1</v>
      </c>
      <c r="J118" s="1" t="n">
        <v>0</v>
      </c>
      <c r="K118" s="1" t="s">
        <v>401</v>
      </c>
      <c r="U118" s="1" t="n">
        <f aca="false">1+U117</f>
        <v>64</v>
      </c>
      <c r="V118" s="1" t="n">
        <v>5</v>
      </c>
      <c r="W118" s="1" t="n">
        <v>1</v>
      </c>
      <c r="X118" s="1" t="n">
        <v>0</v>
      </c>
      <c r="Y118" s="1" t="s">
        <v>376</v>
      </c>
      <c r="Z118" s="1"/>
      <c r="AA118" s="1"/>
      <c r="AB118" s="1"/>
      <c r="AC118" s="1"/>
      <c r="AD118" s="1"/>
    </row>
    <row r="119" customFormat="false" ht="14.1" hidden="false" customHeight="true" outlineLevel="0" collapsed="false">
      <c r="A119" s="1" t="n">
        <f aca="false">1+A118</f>
        <v>3</v>
      </c>
      <c r="B119" s="1" t="n">
        <v>3</v>
      </c>
      <c r="C119" s="1" t="n">
        <v>1</v>
      </c>
      <c r="D119" s="1" t="n">
        <v>0</v>
      </c>
      <c r="E119" s="1" t="s">
        <v>402</v>
      </c>
      <c r="G119" s="1" t="n">
        <f aca="false">1+G118</f>
        <v>8</v>
      </c>
      <c r="H119" s="1" t="n">
        <v>4</v>
      </c>
      <c r="I119" s="1" t="n">
        <v>1</v>
      </c>
      <c r="J119" s="1" t="n">
        <v>0</v>
      </c>
      <c r="K119" s="1" t="s">
        <v>401</v>
      </c>
      <c r="U119" s="1" t="n">
        <f aca="false">1+U118</f>
        <v>65</v>
      </c>
      <c r="V119" s="1" t="n">
        <v>5</v>
      </c>
      <c r="W119" s="1" t="n">
        <v>1</v>
      </c>
      <c r="X119" s="1" t="n">
        <v>0</v>
      </c>
      <c r="Y119" s="1" t="s">
        <v>376</v>
      </c>
      <c r="Z119" s="1"/>
      <c r="AA119" s="1"/>
      <c r="AB119" s="1"/>
      <c r="AC119" s="1"/>
      <c r="AD119" s="1"/>
    </row>
    <row r="120" customFormat="false" ht="14.1" hidden="false" customHeight="true" outlineLevel="0" collapsed="false">
      <c r="A120" s="1" t="n">
        <f aca="false">1+A119</f>
        <v>4</v>
      </c>
      <c r="B120" s="1" t="n">
        <v>4</v>
      </c>
      <c r="C120" s="1" t="n">
        <v>1</v>
      </c>
      <c r="D120" s="1" t="n">
        <v>0</v>
      </c>
      <c r="E120" s="1" t="s">
        <v>402</v>
      </c>
      <c r="G120" s="1" t="n">
        <f aca="false">1+G119</f>
        <v>9</v>
      </c>
      <c r="H120" s="1" t="n">
        <v>5</v>
      </c>
      <c r="I120" s="1" t="n">
        <v>1</v>
      </c>
      <c r="J120" s="1" t="n">
        <v>0</v>
      </c>
      <c r="K120" s="1" t="s">
        <v>401</v>
      </c>
      <c r="U120" s="1" t="n">
        <f aca="false">1+U119</f>
        <v>66</v>
      </c>
      <c r="V120" s="1" t="n">
        <v>5</v>
      </c>
      <c r="W120" s="1" t="n">
        <v>1</v>
      </c>
      <c r="X120" s="1" t="n">
        <v>0</v>
      </c>
      <c r="Y120" s="1" t="s">
        <v>376</v>
      </c>
      <c r="Z120" s="1"/>
      <c r="AA120" s="1"/>
      <c r="AB120" s="1"/>
      <c r="AC120" s="1"/>
      <c r="AD120" s="1"/>
    </row>
    <row r="121" customFormat="false" ht="14.1" hidden="false" customHeight="true" outlineLevel="0" collapsed="false">
      <c r="A121" s="1" t="n">
        <f aca="false">1+A120</f>
        <v>5</v>
      </c>
      <c r="B121" s="1" t="n">
        <v>4</v>
      </c>
      <c r="C121" s="1" t="n">
        <v>1</v>
      </c>
      <c r="D121" s="1" t="n">
        <v>0</v>
      </c>
      <c r="E121" s="1" t="s">
        <v>402</v>
      </c>
      <c r="G121" s="1" t="n">
        <f aca="false">1+G120</f>
        <v>10</v>
      </c>
      <c r="H121" s="1" t="n">
        <v>5</v>
      </c>
      <c r="I121" s="1" t="n">
        <v>1</v>
      </c>
      <c r="J121" s="1" t="n">
        <v>0</v>
      </c>
      <c r="K121" s="1" t="s">
        <v>401</v>
      </c>
      <c r="U121" s="1" t="n">
        <f aca="false">1+U120</f>
        <v>67</v>
      </c>
      <c r="V121" s="1" t="n">
        <v>5</v>
      </c>
      <c r="W121" s="1" t="n">
        <v>1</v>
      </c>
      <c r="X121" s="1" t="n">
        <v>0</v>
      </c>
      <c r="Y121" s="1" t="s">
        <v>376</v>
      </c>
      <c r="Z121" s="1"/>
      <c r="AA121" s="1"/>
      <c r="AB121" s="1"/>
      <c r="AC121" s="1"/>
      <c r="AD121" s="1"/>
    </row>
    <row r="122" customFormat="false" ht="14.1" hidden="false" customHeight="true" outlineLevel="0" collapsed="false">
      <c r="A122" s="1" t="n">
        <f aca="false">1+A121</f>
        <v>6</v>
      </c>
      <c r="B122" s="1" t="n">
        <v>4</v>
      </c>
      <c r="C122" s="1" t="n">
        <v>1</v>
      </c>
      <c r="D122" s="1" t="n">
        <v>0</v>
      </c>
      <c r="E122" s="1" t="s">
        <v>402</v>
      </c>
      <c r="G122" s="1" t="n">
        <f aca="false">1+G121</f>
        <v>11</v>
      </c>
      <c r="H122" s="1" t="n">
        <v>5</v>
      </c>
      <c r="I122" s="1" t="n">
        <v>1</v>
      </c>
      <c r="J122" s="1" t="n">
        <v>0</v>
      </c>
      <c r="K122" s="1" t="s">
        <v>401</v>
      </c>
      <c r="U122" s="1" t="n">
        <f aca="false">1+U121</f>
        <v>68</v>
      </c>
      <c r="V122" s="1" t="n">
        <v>5</v>
      </c>
      <c r="W122" s="1" t="n">
        <v>1</v>
      </c>
      <c r="X122" s="1" t="n">
        <v>0</v>
      </c>
      <c r="Y122" s="1" t="s">
        <v>376</v>
      </c>
      <c r="Z122" s="1"/>
      <c r="AA122" s="1"/>
      <c r="AB122" s="1"/>
      <c r="AC122" s="1"/>
      <c r="AD122" s="1"/>
    </row>
    <row r="123" customFormat="false" ht="14.1" hidden="false" customHeight="true" outlineLevel="0" collapsed="false">
      <c r="A123" s="1" t="n">
        <f aca="false">1+A122</f>
        <v>7</v>
      </c>
      <c r="B123" s="1" t="n">
        <v>4</v>
      </c>
      <c r="C123" s="1" t="n">
        <v>1</v>
      </c>
      <c r="D123" s="1" t="n">
        <v>0</v>
      </c>
      <c r="E123" s="1" t="s">
        <v>402</v>
      </c>
      <c r="G123" s="1" t="n">
        <f aca="false">1+G122</f>
        <v>12</v>
      </c>
      <c r="H123" s="1" t="n">
        <v>5</v>
      </c>
      <c r="I123" s="1" t="n">
        <v>1</v>
      </c>
      <c r="J123" s="1" t="n">
        <v>0</v>
      </c>
      <c r="K123" s="1" t="s">
        <v>401</v>
      </c>
      <c r="U123" s="1" t="n">
        <f aca="false">1+U122</f>
        <v>69</v>
      </c>
      <c r="V123" s="1" t="n">
        <v>5</v>
      </c>
      <c r="W123" s="1" t="n">
        <v>1</v>
      </c>
      <c r="X123" s="1" t="n">
        <v>0</v>
      </c>
      <c r="Y123" s="1" t="s">
        <v>376</v>
      </c>
      <c r="Z123" s="1"/>
      <c r="AA123" s="1"/>
      <c r="AB123" s="1"/>
      <c r="AC123" s="1"/>
      <c r="AD123" s="1"/>
    </row>
    <row r="124" customFormat="false" ht="14.1" hidden="false" customHeight="true" outlineLevel="0" collapsed="false">
      <c r="A124" s="1" t="n">
        <f aca="false">1+A123</f>
        <v>8</v>
      </c>
      <c r="B124" s="1" t="n">
        <v>4</v>
      </c>
      <c r="C124" s="1" t="n">
        <v>1</v>
      </c>
      <c r="D124" s="1" t="n">
        <v>0</v>
      </c>
      <c r="E124" s="1" t="s">
        <v>402</v>
      </c>
      <c r="G124" s="1" t="n">
        <f aca="false">1+G123</f>
        <v>13</v>
      </c>
      <c r="H124" s="1" t="n">
        <v>6</v>
      </c>
      <c r="I124" s="1" t="n">
        <v>1</v>
      </c>
      <c r="J124" s="1" t="n">
        <v>0</v>
      </c>
      <c r="K124" s="1" t="s">
        <v>401</v>
      </c>
      <c r="U124" s="1" t="n">
        <f aca="false">1+U123</f>
        <v>70</v>
      </c>
      <c r="V124" s="1" t="n">
        <v>5</v>
      </c>
      <c r="W124" s="1" t="n">
        <v>1</v>
      </c>
      <c r="X124" s="1" t="n">
        <v>0</v>
      </c>
      <c r="Y124" s="1" t="s">
        <v>376</v>
      </c>
      <c r="Z124" s="1"/>
      <c r="AA124" s="1"/>
      <c r="AB124" s="1"/>
      <c r="AC124" s="1"/>
      <c r="AD124" s="1"/>
    </row>
    <row r="125" customFormat="false" ht="14.1" hidden="false" customHeight="true" outlineLevel="0" collapsed="false">
      <c r="A125" s="1" t="n">
        <f aca="false">1+A124</f>
        <v>9</v>
      </c>
      <c r="B125" s="1" t="n">
        <v>4</v>
      </c>
      <c r="C125" s="1" t="n">
        <v>1</v>
      </c>
      <c r="D125" s="1" t="n">
        <v>0</v>
      </c>
      <c r="E125" s="1" t="s">
        <v>402</v>
      </c>
      <c r="G125" s="1" t="n">
        <f aca="false">1+G124</f>
        <v>14</v>
      </c>
      <c r="H125" s="1" t="n">
        <v>7</v>
      </c>
      <c r="I125" s="1" t="n">
        <v>1</v>
      </c>
      <c r="J125" s="1" t="n">
        <v>0</v>
      </c>
      <c r="K125" s="1" t="s">
        <v>401</v>
      </c>
      <c r="U125" s="1" t="n">
        <f aca="false">1+U124</f>
        <v>71</v>
      </c>
      <c r="V125" s="1" t="n">
        <v>5</v>
      </c>
      <c r="W125" s="1" t="n">
        <v>1</v>
      </c>
      <c r="X125" s="1" t="n">
        <v>0</v>
      </c>
      <c r="Y125" s="1" t="s">
        <v>376</v>
      </c>
      <c r="Z125" s="1"/>
      <c r="AA125" s="1"/>
      <c r="AB125" s="1"/>
      <c r="AC125" s="1"/>
      <c r="AD125" s="1"/>
    </row>
    <row r="126" customFormat="false" ht="14.1" hidden="false" customHeight="true" outlineLevel="0" collapsed="false">
      <c r="A126" s="1" t="n">
        <f aca="false">1+A125</f>
        <v>10</v>
      </c>
      <c r="B126" s="1" t="n">
        <v>5</v>
      </c>
      <c r="C126" s="1" t="n">
        <v>1</v>
      </c>
      <c r="D126" s="1" t="n">
        <v>0</v>
      </c>
      <c r="E126" s="1" t="s">
        <v>402</v>
      </c>
      <c r="G126" s="1" t="n">
        <f aca="false">1+G125</f>
        <v>15</v>
      </c>
      <c r="H126" s="1" t="n">
        <v>7</v>
      </c>
      <c r="I126" s="1" t="n">
        <v>1</v>
      </c>
      <c r="J126" s="1" t="n">
        <v>0</v>
      </c>
      <c r="K126" s="1" t="s">
        <v>401</v>
      </c>
      <c r="U126" s="1" t="n">
        <f aca="false">1+U125</f>
        <v>72</v>
      </c>
      <c r="V126" s="1" t="n">
        <v>5</v>
      </c>
      <c r="W126" s="1" t="n">
        <v>1</v>
      </c>
      <c r="X126" s="1" t="n">
        <v>0</v>
      </c>
      <c r="Y126" s="1" t="s">
        <v>376</v>
      </c>
      <c r="Z126" s="1"/>
      <c r="AA126" s="1"/>
      <c r="AB126" s="1"/>
      <c r="AC126" s="1"/>
      <c r="AD126" s="1"/>
    </row>
    <row r="127" customFormat="false" ht="14.1" hidden="false" customHeight="true" outlineLevel="0" collapsed="false">
      <c r="A127" s="1" t="n">
        <f aca="false">1+A126</f>
        <v>11</v>
      </c>
      <c r="B127" s="1" t="n">
        <v>5</v>
      </c>
      <c r="C127" s="1" t="n">
        <v>1</v>
      </c>
      <c r="D127" s="1" t="n">
        <v>0</v>
      </c>
      <c r="E127" s="1" t="s">
        <v>402</v>
      </c>
      <c r="G127" s="1" t="n">
        <f aca="false">1+G126</f>
        <v>16</v>
      </c>
      <c r="H127" s="1" t="n">
        <v>7</v>
      </c>
      <c r="I127" s="1" t="n">
        <v>1</v>
      </c>
      <c r="J127" s="1" t="n">
        <v>0</v>
      </c>
      <c r="K127" s="1" t="s">
        <v>401</v>
      </c>
      <c r="U127" s="1" t="n">
        <f aca="false">1+U126</f>
        <v>73</v>
      </c>
      <c r="V127" s="1" t="n">
        <v>5</v>
      </c>
      <c r="W127" s="1" t="n">
        <v>1</v>
      </c>
      <c r="X127" s="1" t="n">
        <v>0</v>
      </c>
      <c r="Y127" s="1" t="s">
        <v>376</v>
      </c>
      <c r="Z127" s="1"/>
      <c r="AA127" s="1"/>
      <c r="AB127" s="1"/>
      <c r="AC127" s="1"/>
      <c r="AD127" s="1"/>
    </row>
    <row r="128" customFormat="false" ht="14.1" hidden="false" customHeight="true" outlineLevel="0" collapsed="false">
      <c r="A128" s="1" t="n">
        <f aca="false">1+A127</f>
        <v>12</v>
      </c>
      <c r="B128" s="1" t="n">
        <v>5</v>
      </c>
      <c r="C128" s="1" t="n">
        <v>1</v>
      </c>
      <c r="D128" s="1" t="n">
        <v>0</v>
      </c>
      <c r="E128" s="1" t="s">
        <v>402</v>
      </c>
      <c r="G128" s="1" t="n">
        <f aca="false">1+G127</f>
        <v>17</v>
      </c>
      <c r="H128" s="1" t="n">
        <v>8</v>
      </c>
      <c r="I128" s="1" t="n">
        <v>1</v>
      </c>
      <c r="J128" s="1" t="n">
        <v>0</v>
      </c>
      <c r="K128" s="1" t="s">
        <v>401</v>
      </c>
      <c r="U128" s="1" t="n">
        <f aca="false">1+U127</f>
        <v>74</v>
      </c>
      <c r="V128" s="1" t="n">
        <v>5</v>
      </c>
      <c r="W128" s="1" t="n">
        <v>1</v>
      </c>
      <c r="X128" s="1" t="n">
        <v>0</v>
      </c>
      <c r="Y128" s="1" t="s">
        <v>376</v>
      </c>
      <c r="Z128" s="1"/>
      <c r="AA128" s="1"/>
      <c r="AB128" s="1"/>
      <c r="AC128" s="1"/>
      <c r="AD128" s="1"/>
    </row>
    <row r="129" customFormat="false" ht="14.1" hidden="false" customHeight="true" outlineLevel="0" collapsed="false">
      <c r="A129" s="1" t="n">
        <f aca="false">1+A128</f>
        <v>13</v>
      </c>
      <c r="B129" s="1" t="n">
        <v>6</v>
      </c>
      <c r="C129" s="1" t="n">
        <v>1</v>
      </c>
      <c r="D129" s="1" t="n">
        <v>0</v>
      </c>
      <c r="E129" s="1" t="s">
        <v>402</v>
      </c>
      <c r="G129" s="1" t="n">
        <f aca="false">1+G128</f>
        <v>18</v>
      </c>
      <c r="H129" s="1" t="n">
        <v>9</v>
      </c>
      <c r="I129" s="1" t="n">
        <v>1</v>
      </c>
      <c r="J129" s="1" t="n">
        <v>0</v>
      </c>
      <c r="K129" s="1" t="s">
        <v>401</v>
      </c>
      <c r="U129" s="1" t="n">
        <f aca="false">1+U128</f>
        <v>75</v>
      </c>
      <c r="V129" s="1" t="n">
        <v>5</v>
      </c>
      <c r="W129" s="1" t="n">
        <v>1</v>
      </c>
      <c r="X129" s="1" t="n">
        <v>0</v>
      </c>
      <c r="Y129" s="1" t="s">
        <v>376</v>
      </c>
      <c r="Z129" s="1"/>
      <c r="AA129" s="1"/>
      <c r="AB129" s="1"/>
      <c r="AC129" s="1"/>
      <c r="AD129" s="1"/>
    </row>
    <row r="130" customFormat="false" ht="14.1" hidden="false" customHeight="true" outlineLevel="0" collapsed="false">
      <c r="A130" s="1" t="n">
        <f aca="false">1+A129</f>
        <v>14</v>
      </c>
      <c r="B130" s="1" t="n">
        <v>6</v>
      </c>
      <c r="C130" s="1" t="n">
        <v>1</v>
      </c>
      <c r="D130" s="1" t="n">
        <v>0</v>
      </c>
      <c r="E130" s="1" t="s">
        <v>402</v>
      </c>
      <c r="G130" s="1" t="n">
        <f aca="false">1+G129</f>
        <v>19</v>
      </c>
      <c r="H130" s="1" t="n">
        <v>9</v>
      </c>
      <c r="I130" s="1" t="n">
        <v>1</v>
      </c>
      <c r="J130" s="1" t="n">
        <v>0</v>
      </c>
      <c r="K130" s="1" t="s">
        <v>401</v>
      </c>
      <c r="U130" s="1" t="n">
        <f aca="false">1+U129</f>
        <v>76</v>
      </c>
      <c r="V130" s="1" t="n">
        <v>5</v>
      </c>
      <c r="W130" s="1" t="n">
        <v>1</v>
      </c>
      <c r="X130" s="1" t="n">
        <v>0</v>
      </c>
      <c r="Y130" s="1" t="s">
        <v>376</v>
      </c>
      <c r="Z130" s="1"/>
      <c r="AA130" s="1"/>
      <c r="AB130" s="1"/>
      <c r="AC130" s="1"/>
      <c r="AD130" s="1"/>
    </row>
    <row r="131" customFormat="false" ht="14.1" hidden="false" customHeight="true" outlineLevel="0" collapsed="false">
      <c r="A131" s="1" t="n">
        <f aca="false">1+A130</f>
        <v>15</v>
      </c>
      <c r="B131" s="1" t="n">
        <v>6</v>
      </c>
      <c r="C131" s="1" t="n">
        <v>1</v>
      </c>
      <c r="D131" s="1" t="n">
        <v>0</v>
      </c>
      <c r="E131" s="1" t="s">
        <v>402</v>
      </c>
      <c r="G131" s="1" t="n">
        <f aca="false">1+G130</f>
        <v>20</v>
      </c>
      <c r="H131" s="1" t="n">
        <v>10</v>
      </c>
      <c r="I131" s="1" t="n">
        <v>1</v>
      </c>
      <c r="J131" s="1" t="n">
        <v>0</v>
      </c>
      <c r="K131" s="1" t="s">
        <v>401</v>
      </c>
      <c r="U131" s="1" t="n">
        <f aca="false">1+U130</f>
        <v>77</v>
      </c>
      <c r="V131" s="1" t="n">
        <v>5</v>
      </c>
      <c r="W131" s="1" t="n">
        <v>1</v>
      </c>
      <c r="X131" s="1" t="n">
        <v>0</v>
      </c>
      <c r="Y131" s="1" t="s">
        <v>376</v>
      </c>
      <c r="Z131" s="1"/>
      <c r="AA131" s="1"/>
      <c r="AB131" s="1"/>
      <c r="AC131" s="1"/>
      <c r="AD131" s="1"/>
    </row>
    <row r="132" customFormat="false" ht="14.1" hidden="false" customHeight="true" outlineLevel="0" collapsed="false">
      <c r="A132" s="1" t="n">
        <f aca="false">1+A131</f>
        <v>16</v>
      </c>
      <c r="B132" s="1" t="n">
        <v>7</v>
      </c>
      <c r="C132" s="1" t="n">
        <v>1</v>
      </c>
      <c r="D132" s="1" t="n">
        <v>0</v>
      </c>
      <c r="E132" s="1" t="s">
        <v>402</v>
      </c>
      <c r="G132" s="1" t="n">
        <f aca="false">1+G131</f>
        <v>21</v>
      </c>
      <c r="H132" s="1" t="n">
        <v>10</v>
      </c>
      <c r="I132" s="1" t="n">
        <v>1</v>
      </c>
      <c r="J132" s="1" t="n">
        <v>0</v>
      </c>
      <c r="K132" s="1" t="s">
        <v>401</v>
      </c>
      <c r="U132" s="1" t="n">
        <f aca="false">1+U131</f>
        <v>78</v>
      </c>
      <c r="V132" s="1" t="n">
        <v>6</v>
      </c>
      <c r="W132" s="1" t="n">
        <v>1</v>
      </c>
      <c r="X132" s="1" t="n">
        <v>0</v>
      </c>
      <c r="Y132" s="1" t="s">
        <v>376</v>
      </c>
      <c r="Z132" s="1"/>
      <c r="AA132" s="1"/>
      <c r="AB132" s="1"/>
      <c r="AC132" s="1"/>
      <c r="AD132" s="1"/>
    </row>
    <row r="133" customFormat="false" ht="14.1" hidden="false" customHeight="true" outlineLevel="0" collapsed="false">
      <c r="A133" s="1" t="n">
        <f aca="false">1+A132</f>
        <v>17</v>
      </c>
      <c r="B133" s="1" t="n">
        <v>7</v>
      </c>
      <c r="C133" s="1" t="n">
        <v>1</v>
      </c>
      <c r="D133" s="1" t="n">
        <v>0</v>
      </c>
      <c r="E133" s="1" t="s">
        <v>402</v>
      </c>
      <c r="G133" s="1" t="n">
        <f aca="false">1+G132</f>
        <v>22</v>
      </c>
      <c r="H133" s="1" t="n">
        <v>10</v>
      </c>
      <c r="I133" s="1" t="n">
        <v>1</v>
      </c>
      <c r="J133" s="1" t="n">
        <v>0</v>
      </c>
      <c r="K133" s="1" t="s">
        <v>401</v>
      </c>
      <c r="U133" s="1" t="n">
        <f aca="false">1+U132</f>
        <v>79</v>
      </c>
      <c r="V133" s="1" t="n">
        <v>6</v>
      </c>
      <c r="W133" s="1" t="n">
        <v>1</v>
      </c>
      <c r="X133" s="1" t="n">
        <v>0</v>
      </c>
      <c r="Y133" s="1" t="s">
        <v>376</v>
      </c>
      <c r="Z133" s="1"/>
      <c r="AA133" s="1"/>
      <c r="AB133" s="1"/>
      <c r="AC133" s="1"/>
      <c r="AD133" s="1"/>
    </row>
    <row r="134" customFormat="false" ht="14.1" hidden="false" customHeight="true" outlineLevel="0" collapsed="false">
      <c r="A134" s="1" t="n">
        <f aca="false">1+A133</f>
        <v>18</v>
      </c>
      <c r="B134" s="1" t="n">
        <v>8</v>
      </c>
      <c r="C134" s="1" t="n">
        <v>1</v>
      </c>
      <c r="D134" s="1" t="n">
        <v>0</v>
      </c>
      <c r="E134" s="1" t="s">
        <v>402</v>
      </c>
      <c r="G134" s="1" t="n">
        <f aca="false">1+G133</f>
        <v>23</v>
      </c>
      <c r="H134" s="1" t="n">
        <v>10</v>
      </c>
      <c r="I134" s="1" t="n">
        <v>1</v>
      </c>
      <c r="J134" s="1" t="n">
        <v>0</v>
      </c>
      <c r="K134" s="1" t="s">
        <v>401</v>
      </c>
      <c r="U134" s="1" t="n">
        <f aca="false">1+U133</f>
        <v>80</v>
      </c>
      <c r="V134" s="1" t="n">
        <v>6</v>
      </c>
      <c r="W134" s="1" t="n">
        <v>1</v>
      </c>
      <c r="X134" s="1" t="n">
        <v>0</v>
      </c>
      <c r="Y134" s="1" t="s">
        <v>376</v>
      </c>
    </row>
    <row r="135" customFormat="false" ht="14.1" hidden="false" customHeight="true" outlineLevel="0" collapsed="false">
      <c r="A135" s="1" t="n">
        <f aca="false">1+A134</f>
        <v>19</v>
      </c>
      <c r="B135" s="1" t="n">
        <v>8</v>
      </c>
      <c r="C135" s="1" t="n">
        <v>1</v>
      </c>
      <c r="D135" s="1" t="n">
        <v>0</v>
      </c>
      <c r="E135" s="1" t="s">
        <v>402</v>
      </c>
      <c r="G135" s="1" t="n">
        <f aca="false">1+G134</f>
        <v>24</v>
      </c>
      <c r="H135" s="1" t="n">
        <v>10</v>
      </c>
      <c r="I135" s="1" t="n">
        <v>1</v>
      </c>
      <c r="J135" s="1" t="n">
        <v>0</v>
      </c>
      <c r="K135" s="1" t="s">
        <v>401</v>
      </c>
    </row>
    <row r="136" customFormat="false" ht="14.1" hidden="false" customHeight="true" outlineLevel="0" collapsed="false">
      <c r="A136" s="1" t="n">
        <f aca="false">1+A135</f>
        <v>20</v>
      </c>
      <c r="B136" s="1" t="n">
        <v>8</v>
      </c>
      <c r="C136" s="1" t="n">
        <v>1</v>
      </c>
      <c r="D136" s="1" t="n">
        <v>0</v>
      </c>
      <c r="E136" s="1" t="s">
        <v>402</v>
      </c>
      <c r="G136" s="1" t="n">
        <f aca="false">1+G135</f>
        <v>25</v>
      </c>
      <c r="H136" s="1" t="n">
        <v>11</v>
      </c>
      <c r="I136" s="1" t="n">
        <v>0</v>
      </c>
      <c r="J136" s="1" t="n">
        <v>0</v>
      </c>
      <c r="K136" s="1" t="s">
        <v>401</v>
      </c>
    </row>
    <row r="137" customFormat="false" ht="14.1" hidden="false" customHeight="true" outlineLevel="0" collapsed="false">
      <c r="A137" s="1" t="n">
        <f aca="false">1+A136</f>
        <v>21</v>
      </c>
      <c r="B137" s="1" t="n">
        <v>8</v>
      </c>
      <c r="C137" s="1" t="n">
        <v>1</v>
      </c>
      <c r="D137" s="1" t="n">
        <v>0</v>
      </c>
      <c r="E137" s="1" t="s">
        <v>402</v>
      </c>
      <c r="G137" s="1" t="n">
        <f aca="false">1+G136</f>
        <v>26</v>
      </c>
      <c r="H137" s="1" t="n">
        <v>11</v>
      </c>
      <c r="I137" s="1" t="n">
        <v>0</v>
      </c>
      <c r="J137" s="1" t="n">
        <v>0</v>
      </c>
      <c r="K137" s="1" t="s">
        <v>401</v>
      </c>
    </row>
    <row r="138" customFormat="false" ht="14.1" hidden="false" customHeight="true" outlineLevel="0" collapsed="false">
      <c r="A138" s="1" t="n">
        <f aca="false">1+A137</f>
        <v>22</v>
      </c>
      <c r="B138" s="1" t="n">
        <v>9</v>
      </c>
      <c r="C138" s="1" t="n">
        <v>1</v>
      </c>
      <c r="D138" s="1" t="n">
        <v>0</v>
      </c>
      <c r="E138" s="1" t="s">
        <v>402</v>
      </c>
      <c r="G138" s="1" t="n">
        <f aca="false">1+G137</f>
        <v>27</v>
      </c>
      <c r="H138" s="1" t="n">
        <v>11</v>
      </c>
      <c r="I138" s="1" t="n">
        <v>0</v>
      </c>
      <c r="J138" s="1" t="n">
        <v>0</v>
      </c>
      <c r="K138" s="1" t="s">
        <v>401</v>
      </c>
    </row>
    <row r="139" customFormat="false" ht="14.1" hidden="false" customHeight="true" outlineLevel="0" collapsed="false">
      <c r="A139" s="1" t="n">
        <f aca="false">1+A138</f>
        <v>23</v>
      </c>
      <c r="B139" s="1" t="n">
        <v>11</v>
      </c>
      <c r="C139" s="1" t="n">
        <v>0</v>
      </c>
      <c r="D139" s="1" t="n">
        <v>0</v>
      </c>
      <c r="E139" s="1" t="s">
        <v>402</v>
      </c>
      <c r="G139" s="1" t="n">
        <f aca="false">1+G138</f>
        <v>28</v>
      </c>
      <c r="H139" s="1" t="n">
        <v>11</v>
      </c>
      <c r="I139" s="1" t="n">
        <v>0</v>
      </c>
      <c r="J139" s="1" t="n">
        <v>0</v>
      </c>
      <c r="K139" s="1" t="s">
        <v>401</v>
      </c>
    </row>
    <row r="140" customFormat="false" ht="14.1" hidden="false" customHeight="true" outlineLevel="0" collapsed="false">
      <c r="A140" s="1" t="n">
        <f aca="false">1+A139</f>
        <v>24</v>
      </c>
      <c r="B140" s="1" t="n">
        <v>11</v>
      </c>
      <c r="C140" s="1" t="n">
        <v>0</v>
      </c>
      <c r="D140" s="1" t="n">
        <v>0</v>
      </c>
      <c r="E140" s="1" t="s">
        <v>402</v>
      </c>
      <c r="G140" s="1" t="n">
        <f aca="false">1+G139</f>
        <v>29</v>
      </c>
      <c r="H140" s="1" t="n">
        <v>11</v>
      </c>
      <c r="I140" s="1" t="n">
        <v>0</v>
      </c>
      <c r="J140" s="1" t="n">
        <v>0</v>
      </c>
      <c r="K140" s="1" t="s">
        <v>401</v>
      </c>
    </row>
    <row r="141" customFormat="false" ht="14.1" hidden="false" customHeight="true" outlineLevel="0" collapsed="false">
      <c r="A141" s="1" t="n">
        <f aca="false">1+A140</f>
        <v>25</v>
      </c>
      <c r="B141" s="1" t="n">
        <v>11</v>
      </c>
      <c r="C141" s="1" t="n">
        <v>0</v>
      </c>
      <c r="D141" s="1" t="n">
        <v>0</v>
      </c>
      <c r="E141" s="1" t="s">
        <v>402</v>
      </c>
      <c r="G141" s="1" t="n">
        <f aca="false">1+G140</f>
        <v>30</v>
      </c>
      <c r="H141" s="1" t="n">
        <v>11</v>
      </c>
      <c r="I141" s="1" t="n">
        <v>0</v>
      </c>
      <c r="J141" s="1" t="n">
        <v>0</v>
      </c>
      <c r="K141" s="1" t="s">
        <v>401</v>
      </c>
    </row>
    <row r="142" customFormat="false" ht="14.1" hidden="false" customHeight="true" outlineLevel="0" collapsed="false">
      <c r="G142" s="1" t="n">
        <f aca="false">1+G141</f>
        <v>31</v>
      </c>
      <c r="H142" s="1" t="n">
        <v>11</v>
      </c>
      <c r="I142" s="1" t="n">
        <v>0</v>
      </c>
      <c r="J142" s="1" t="n">
        <v>0</v>
      </c>
      <c r="K142" s="1" t="s">
        <v>401</v>
      </c>
    </row>
    <row r="143" customFormat="false" ht="14.1" hidden="false" customHeight="true" outlineLevel="0" collapsed="false">
      <c r="A143" s="0"/>
      <c r="B143" s="0"/>
      <c r="C143" s="0"/>
      <c r="D143" s="0"/>
      <c r="E143" s="0"/>
      <c r="G143" s="1" t="n">
        <f aca="false">1+G142</f>
        <v>32</v>
      </c>
      <c r="H143" s="1" t="n">
        <v>11</v>
      </c>
      <c r="I143" s="1" t="n">
        <v>0</v>
      </c>
      <c r="J143" s="1" t="n">
        <v>0</v>
      </c>
      <c r="K143" s="1" t="s">
        <v>401</v>
      </c>
    </row>
    <row r="144" customFormat="false" ht="14.1" hidden="false" customHeight="true" outlineLevel="0" collapsed="false">
      <c r="A144" s="0"/>
      <c r="B144" s="0"/>
      <c r="C144" s="0"/>
      <c r="D144" s="0"/>
      <c r="E144" s="0"/>
      <c r="G144" s="1" t="n">
        <f aca="false">1+G143</f>
        <v>33</v>
      </c>
      <c r="H144" s="1" t="n">
        <v>11</v>
      </c>
      <c r="I144" s="1" t="n">
        <v>0</v>
      </c>
      <c r="J144" s="1" t="n">
        <v>0</v>
      </c>
      <c r="K144" s="1" t="s">
        <v>401</v>
      </c>
    </row>
    <row r="145" customFormat="false" ht="14.1" hidden="false" customHeight="true" outlineLevel="0" collapsed="false">
      <c r="A145" s="0"/>
      <c r="B145" s="0"/>
      <c r="C145" s="0"/>
      <c r="D145" s="0"/>
      <c r="E145" s="0"/>
      <c r="G145" s="1" t="n">
        <f aca="false">1+G144</f>
        <v>34</v>
      </c>
      <c r="H145" s="1" t="n">
        <v>11</v>
      </c>
      <c r="I145" s="1" t="n">
        <v>0</v>
      </c>
      <c r="J145" s="1" t="n">
        <v>0</v>
      </c>
      <c r="K145" s="1" t="s">
        <v>401</v>
      </c>
    </row>
    <row r="146" customFormat="false" ht="14.1" hidden="false" customHeight="true" outlineLevel="0" collapsed="false">
      <c r="A146" s="0"/>
      <c r="B146" s="0"/>
      <c r="C146" s="0"/>
      <c r="D146" s="0"/>
      <c r="E146" s="0"/>
      <c r="G146" s="1" t="n">
        <f aca="false">1+G145</f>
        <v>35</v>
      </c>
      <c r="H146" s="1" t="n">
        <v>11</v>
      </c>
      <c r="I146" s="1" t="n">
        <v>0</v>
      </c>
      <c r="J146" s="1" t="n">
        <v>0</v>
      </c>
      <c r="K146" s="1" t="s">
        <v>401</v>
      </c>
    </row>
    <row r="147" customFormat="false" ht="14.1" hidden="false" customHeight="true" outlineLevel="0" collapsed="false">
      <c r="A147" s="0"/>
      <c r="B147" s="0"/>
      <c r="C147" s="0"/>
      <c r="D147" s="0"/>
      <c r="E147" s="0"/>
      <c r="G147" s="1" t="n">
        <f aca="false">1+G146</f>
        <v>36</v>
      </c>
      <c r="H147" s="1" t="n">
        <v>11</v>
      </c>
      <c r="I147" s="1" t="n">
        <v>0</v>
      </c>
      <c r="J147" s="1" t="n">
        <v>0</v>
      </c>
      <c r="K147" s="1" t="s">
        <v>401</v>
      </c>
    </row>
    <row r="291" customFormat="false" ht="14.15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05"/>
  <sheetViews>
    <sheetView windowProtection="false" showFormulas="false" showGridLines="true" showRowColHeaders="true" showZeros="true" rightToLeft="false" tabSelected="false" showOutlineSymbols="true" defaultGridColor="true" view="normal" topLeftCell="A8" colorId="64" zoomScale="120" zoomScaleNormal="120" zoomScalePageLayoutView="100" workbookViewId="0">
      <selection pane="topLeft" activeCell="H27" activeCellId="0" sqref="H27"/>
    </sheetView>
  </sheetViews>
  <sheetFormatPr defaultRowHeight="12.8"/>
  <cols>
    <col collapsed="false" hidden="false" max="3" min="1" style="0" width="11.5204081632653"/>
    <col collapsed="false" hidden="false" max="4" min="4" style="0" width="13.1581632653061"/>
    <col collapsed="false" hidden="false" max="10" min="5" style="0" width="11.5204081632653"/>
    <col collapsed="false" hidden="false" max="11" min="11" style="0" width="13.7244897959184"/>
    <col collapsed="false" hidden="false" max="1025" min="12" style="0" width="11.5204081632653"/>
  </cols>
  <sheetData>
    <row r="1" customFormat="false" ht="14.1" hidden="false" customHeight="true" outlineLevel="0" collapsed="false"/>
    <row r="2" customFormat="false" ht="17.55" hidden="false" customHeight="true" outlineLevel="0" collapsed="false">
      <c r="B2" s="23" t="s">
        <v>403</v>
      </c>
      <c r="C2" s="69"/>
      <c r="D2" s="3"/>
      <c r="E2" s="3"/>
      <c r="F2" s="3"/>
      <c r="G2" s="3"/>
      <c r="H2" s="3"/>
      <c r="I2" s="3"/>
      <c r="J2" s="3"/>
      <c r="K2" s="3"/>
      <c r="L2" s="3"/>
    </row>
    <row r="3" customFormat="false" ht="14.1" hidden="false" customHeight="true" outlineLevel="0" collapsed="false">
      <c r="P3" s="0" t="s">
        <v>404</v>
      </c>
    </row>
    <row r="5" customFormat="false" ht="14.1" hidden="false" customHeight="true" outlineLevel="0" collapsed="false">
      <c r="A5" s="5" t="s">
        <v>405</v>
      </c>
      <c r="C5" s="12" t="s">
        <v>406</v>
      </c>
      <c r="D5" s="12" t="n">
        <f aca="false">I8+J8-2</f>
        <v>122</v>
      </c>
      <c r="E5" s="12"/>
      <c r="F5" s="12"/>
      <c r="G5" s="12"/>
    </row>
    <row r="6" customFormat="false" ht="14.1" hidden="false" customHeight="true" outlineLevel="0" collapsed="false">
      <c r="A6" s="5" t="s">
        <v>407</v>
      </c>
      <c r="C6" s="12" t="s">
        <v>408</v>
      </c>
      <c r="D6" s="12" t="s">
        <v>409</v>
      </c>
      <c r="E6" s="12" t="s">
        <v>386</v>
      </c>
      <c r="F6" s="1" t="s">
        <v>291</v>
      </c>
      <c r="G6" s="7" t="s">
        <v>397</v>
      </c>
      <c r="I6" s="1" t="s">
        <v>209</v>
      </c>
      <c r="J6" s="1" t="s">
        <v>193</v>
      </c>
      <c r="P6" s="1" t="s">
        <v>410</v>
      </c>
      <c r="Q6" s="1" t="s">
        <v>291</v>
      </c>
      <c r="R6" s="1" t="s">
        <v>411</v>
      </c>
      <c r="S6" s="1" t="s">
        <v>412</v>
      </c>
      <c r="T6" s="1" t="s">
        <v>413</v>
      </c>
      <c r="U6" s="1" t="s">
        <v>408</v>
      </c>
    </row>
    <row r="7" customFormat="false" ht="14.1" hidden="false" customHeight="true" outlineLevel="0" collapsed="false">
      <c r="A7" s="5" t="s">
        <v>414</v>
      </c>
      <c r="F7" s="1"/>
      <c r="G7" s="7"/>
      <c r="I7" s="1"/>
      <c r="J7" s="1"/>
      <c r="P7" s="1"/>
      <c r="Q7" s="1"/>
      <c r="R7" s="1"/>
      <c r="S7" s="1"/>
      <c r="T7" s="1"/>
      <c r="U7" s="1"/>
    </row>
    <row r="8" customFormat="false" ht="14.1" hidden="false" customHeight="true" outlineLevel="0" collapsed="false">
      <c r="C8" s="52" t="n">
        <f aca="false">U9</f>
        <v>0.00834262589526795</v>
      </c>
      <c r="D8" s="0" t="n">
        <f aca="false">TINV(C8,D5)</f>
        <v>2.68156422165863</v>
      </c>
      <c r="E8" s="52" t="n">
        <f aca="false">J9-I9</f>
        <v>0.667045454545455</v>
      </c>
      <c r="F8" s="36" t="n">
        <f aca="false">E8/D8</f>
        <v>0.248752369664623</v>
      </c>
      <c r="G8" s="70" t="n">
        <f aca="false">F8/SQRT(1/I8 + 1/J8)</f>
        <v>1.32534125178426</v>
      </c>
      <c r="I8" s="1" t="n">
        <v>44</v>
      </c>
      <c r="J8" s="1" t="n">
        <v>80</v>
      </c>
      <c r="L8" s="7" t="s">
        <v>415</v>
      </c>
      <c r="M8" s="7" t="s">
        <v>410</v>
      </c>
      <c r="P8" s="71" t="n">
        <f aca="false">M10</f>
        <v>1.32534125178426</v>
      </c>
      <c r="Q8" s="1" t="n">
        <f aca="false">P8*SQRT(1/I8+1/J8)</f>
        <v>0.248752369664623</v>
      </c>
      <c r="R8" s="1" t="n">
        <f aca="false">E8</f>
        <v>0.667045454545455</v>
      </c>
      <c r="S8" s="1" t="n">
        <f aca="false">R8/Q8</f>
        <v>2.68156422165863</v>
      </c>
      <c r="T8" s="1" t="n">
        <f aca="false">D5</f>
        <v>122</v>
      </c>
      <c r="U8" s="70" t="n">
        <f aca="false">TDIST(S8,T8,2)</f>
        <v>0.00834262589526795</v>
      </c>
    </row>
    <row r="9" customFormat="false" ht="14.1" hidden="false" customHeight="true" outlineLevel="0" collapsed="false">
      <c r="F9" s="1"/>
      <c r="G9" s="1"/>
      <c r="H9" s="12" t="s">
        <v>251</v>
      </c>
      <c r="I9" s="1" t="n">
        <f aca="false">Calculations!AB11</f>
        <v>3.54545454545455</v>
      </c>
      <c r="J9" s="1" t="n">
        <f aca="false">Calculations!AB12</f>
        <v>4.2125</v>
      </c>
      <c r="L9" s="7"/>
      <c r="M9" s="1"/>
      <c r="T9" s="1" t="s">
        <v>377</v>
      </c>
      <c r="U9" s="70" t="n">
        <f aca="false">Calculations!AD11</f>
        <v>0.00834262589526795</v>
      </c>
    </row>
    <row r="10" customFormat="false" ht="14.1" hidden="false" customHeight="true" outlineLevel="0" collapsed="false">
      <c r="F10" s="1"/>
      <c r="G10" s="1"/>
      <c r="H10" s="12" t="s">
        <v>292</v>
      </c>
      <c r="I10" s="7" t="n">
        <f aca="false">Calculations!AC11</f>
        <v>1.93444355865111</v>
      </c>
      <c r="J10" s="7" t="n">
        <f aca="false">Calculations!AC12</f>
        <v>0.822065167271128</v>
      </c>
      <c r="K10" s="0" t="s">
        <v>416</v>
      </c>
      <c r="L10" s="7" t="n">
        <f aca="false">((I8-1)*I10*I10+(J8-1)*J10*J10)/(I8+J8-2)</f>
        <v>1.75652943368107</v>
      </c>
      <c r="M10" s="70" t="n">
        <f aca="false">SQRT(L10)</f>
        <v>1.32534125178426</v>
      </c>
      <c r="N10" s="0" t="s">
        <v>417</v>
      </c>
    </row>
    <row r="11" customFormat="false" ht="14.9" hidden="false" customHeight="true" outlineLevel="0" collapsed="false">
      <c r="A11" s="5" t="s">
        <v>63</v>
      </c>
      <c r="C11" s="12" t="s">
        <v>406</v>
      </c>
      <c r="D11" s="12" t="n">
        <f aca="false">I14+J14-2</f>
        <v>46</v>
      </c>
      <c r="E11" s="12"/>
      <c r="F11" s="1"/>
      <c r="G11" s="1"/>
    </row>
    <row r="12" customFormat="false" ht="14.9" hidden="false" customHeight="true" outlineLevel="0" collapsed="false">
      <c r="C12" s="12" t="s">
        <v>408</v>
      </c>
      <c r="D12" s="12" t="s">
        <v>418</v>
      </c>
      <c r="E12" s="12" t="s">
        <v>386</v>
      </c>
      <c r="F12" s="1" t="s">
        <v>291</v>
      </c>
      <c r="G12" s="7" t="s">
        <v>292</v>
      </c>
      <c r="I12" s="1" t="s">
        <v>209</v>
      </c>
      <c r="J12" s="1" t="s">
        <v>193</v>
      </c>
      <c r="M12" s="70"/>
      <c r="P12" s="1" t="s">
        <v>292</v>
      </c>
      <c r="Q12" s="1" t="s">
        <v>291</v>
      </c>
      <c r="R12" s="1" t="s">
        <v>411</v>
      </c>
      <c r="S12" s="1" t="s">
        <v>412</v>
      </c>
      <c r="T12" s="1" t="s">
        <v>413</v>
      </c>
      <c r="U12" s="1" t="s">
        <v>408</v>
      </c>
    </row>
    <row r="13" customFormat="false" ht="14.1" hidden="false" customHeight="true" outlineLevel="0" collapsed="false">
      <c r="F13" s="1"/>
      <c r="G13" s="7"/>
      <c r="I13" s="1"/>
      <c r="J13" s="1"/>
      <c r="K13" s="72"/>
      <c r="N13" s="1"/>
      <c r="P13" s="1"/>
      <c r="Q13" s="1"/>
      <c r="R13" s="1"/>
      <c r="S13" s="1"/>
      <c r="T13" s="1"/>
      <c r="U13" s="1"/>
    </row>
    <row r="14" customFormat="false" ht="14.1" hidden="false" customHeight="true" outlineLevel="0" collapsed="false">
      <c r="C14" s="52" t="n">
        <v>0.045</v>
      </c>
      <c r="D14" s="0" t="n">
        <f aca="false">TINV(C14,D11)</f>
        <v>2.06082301714399</v>
      </c>
      <c r="E14" s="52" t="n">
        <f aca="false">J15-I15</f>
        <v>0.8</v>
      </c>
      <c r="F14" s="36" t="n">
        <f aca="false">E14/D14</f>
        <v>0.388194422007518</v>
      </c>
      <c r="G14" s="7" t="n">
        <f aca="false">F14/SQRT(1/I14 + 1/J14)</f>
        <v>1.28627544669819</v>
      </c>
      <c r="I14" s="1" t="n">
        <v>17</v>
      </c>
      <c r="J14" s="1" t="n">
        <v>31</v>
      </c>
      <c r="P14" s="1" t="n">
        <f aca="false">G14</f>
        <v>1.28627544669819</v>
      </c>
      <c r="Q14" s="1" t="n">
        <f aca="false">P14*SQRT(1/I14+1/J14)</f>
        <v>0.388194422007518</v>
      </c>
      <c r="R14" s="1" t="n">
        <f aca="false">E14</f>
        <v>0.8</v>
      </c>
      <c r="S14" s="1" t="n">
        <f aca="false">R14/Q14</f>
        <v>2.06082301714399</v>
      </c>
      <c r="T14" s="1" t="n">
        <f aca="false">D11</f>
        <v>46</v>
      </c>
      <c r="U14" s="73" t="n">
        <f aca="false">TDIST(S14,T14,2)</f>
        <v>0.045</v>
      </c>
    </row>
    <row r="15" customFormat="false" ht="14.1" hidden="false" customHeight="true" outlineLevel="0" collapsed="false">
      <c r="F15" s="1"/>
      <c r="G15" s="7"/>
      <c r="I15" s="1" t="n">
        <v>1.8</v>
      </c>
      <c r="J15" s="1" t="n">
        <v>2.6</v>
      </c>
    </row>
    <row r="16" customFormat="false" ht="14.1" hidden="false" customHeight="true" outlineLevel="0" collapsed="false">
      <c r="F16" s="1"/>
      <c r="G16" s="7"/>
      <c r="I16" s="1"/>
      <c r="J16" s="1"/>
    </row>
    <row r="17" customFormat="false" ht="14.1" hidden="false" customHeight="true" outlineLevel="0" collapsed="false">
      <c r="A17" s="5" t="s">
        <v>157</v>
      </c>
      <c r="C17" s="12" t="s">
        <v>406</v>
      </c>
      <c r="D17" s="12" t="n">
        <f aca="false">I20+J20-2</f>
        <v>17</v>
      </c>
      <c r="E17" s="12"/>
      <c r="F17" s="1"/>
      <c r="G17" s="7"/>
      <c r="I17" s="1"/>
      <c r="J17" s="1"/>
    </row>
    <row r="18" customFormat="false" ht="14.1" hidden="false" customHeight="true" outlineLevel="0" collapsed="false">
      <c r="C18" s="12" t="s">
        <v>408</v>
      </c>
      <c r="D18" s="12" t="s">
        <v>418</v>
      </c>
      <c r="E18" s="12" t="s">
        <v>386</v>
      </c>
      <c r="F18" s="1" t="s">
        <v>291</v>
      </c>
      <c r="G18" s="7" t="s">
        <v>292</v>
      </c>
      <c r="I18" s="1" t="s">
        <v>209</v>
      </c>
      <c r="J18" s="1" t="s">
        <v>193</v>
      </c>
    </row>
    <row r="19" customFormat="false" ht="14.1" hidden="false" customHeight="true" outlineLevel="0" collapsed="false">
      <c r="F19" s="1"/>
      <c r="G19" s="7"/>
      <c r="I19" s="1"/>
      <c r="J19" s="1"/>
    </row>
    <row r="20" customFormat="false" ht="14.1" hidden="false" customHeight="true" outlineLevel="0" collapsed="false">
      <c r="C20" s="52" t="n">
        <v>0.045</v>
      </c>
      <c r="D20" s="0" t="n">
        <f aca="false">TINV(C20,D17)</f>
        <v>2.16391480638926</v>
      </c>
      <c r="E20" s="52" t="n">
        <f aca="false">J21-I21</f>
        <v>0.6</v>
      </c>
      <c r="F20" s="36" t="n">
        <f aca="false">E20/D20</f>
        <v>0.277275241256456</v>
      </c>
      <c r="G20" s="46" t="n">
        <f aca="false">F20/SQRT(1/I20 + 1/J20)</f>
        <v>0.596726915784708</v>
      </c>
      <c r="H20" s="12" t="s">
        <v>285</v>
      </c>
      <c r="I20" s="1" t="n">
        <v>8</v>
      </c>
      <c r="J20" s="1" t="n">
        <v>11</v>
      </c>
      <c r="P20" s="1" t="n">
        <f aca="false">G20</f>
        <v>0.596726915784708</v>
      </c>
      <c r="Q20" s="1" t="n">
        <f aca="false">P20*SQRT(1/I20+1/J20)</f>
        <v>0.277275241256456</v>
      </c>
      <c r="R20" s="1" t="n">
        <f aca="false">E20</f>
        <v>0.6</v>
      </c>
      <c r="S20" s="1" t="n">
        <f aca="false">R20/Q20</f>
        <v>2.16391480638926</v>
      </c>
      <c r="T20" s="1" t="n">
        <f aca="false">D17</f>
        <v>17</v>
      </c>
      <c r="U20" s="73" t="n">
        <f aca="false">TDIST(S20,T20,2)</f>
        <v>0.0450000000000001</v>
      </c>
    </row>
    <row r="21" customFormat="false" ht="14.1" hidden="false" customHeight="true" outlineLevel="0" collapsed="false">
      <c r="F21" s="1"/>
      <c r="G21" s="7"/>
      <c r="H21" s="12" t="s">
        <v>371</v>
      </c>
      <c r="I21" s="1" t="n">
        <v>1.6</v>
      </c>
      <c r="J21" s="1" t="n">
        <v>2.2</v>
      </c>
    </row>
    <row r="22" customFormat="false" ht="14.1" hidden="false" customHeight="true" outlineLevel="0" collapsed="false">
      <c r="F22" s="1"/>
      <c r="G22" s="7"/>
      <c r="H22" s="12" t="s">
        <v>419</v>
      </c>
      <c r="I22" s="0" t="n">
        <f aca="false">I20*I21</f>
        <v>12.8</v>
      </c>
      <c r="J22" s="0" t="n">
        <f aca="false">J20*J21</f>
        <v>24.2</v>
      </c>
    </row>
    <row r="23" customFormat="false" ht="14.1" hidden="false" customHeight="true" outlineLevel="0" collapsed="false">
      <c r="F23" s="1"/>
      <c r="G23" s="7"/>
      <c r="H23" s="12" t="s">
        <v>420</v>
      </c>
      <c r="I23" s="1" t="n">
        <f aca="false">I22/I29</f>
        <v>0.426666666666667</v>
      </c>
      <c r="J23" s="1" t="n">
        <f aca="false">J22/J29</f>
        <v>0.672222222222222</v>
      </c>
    </row>
    <row r="24" customFormat="false" ht="14.1" hidden="false" customHeight="true" outlineLevel="0" collapsed="false">
      <c r="F24" s="1"/>
      <c r="G24" s="7"/>
      <c r="H24" s="12"/>
      <c r="I24" s="1"/>
      <c r="J24" s="1"/>
    </row>
    <row r="25" customFormat="false" ht="14.1" hidden="false" customHeight="true" outlineLevel="0" collapsed="false">
      <c r="F25" s="1"/>
      <c r="G25" s="7"/>
      <c r="H25" s="6" t="s">
        <v>421</v>
      </c>
      <c r="I25" s="1" t="n">
        <f aca="false">$G$20*$G$20</f>
        <v>0.35608301202193</v>
      </c>
      <c r="J25" s="1" t="n">
        <f aca="false">$G$20*$G$20</f>
        <v>0.35608301202193</v>
      </c>
    </row>
    <row r="26" customFormat="false" ht="14.1" hidden="false" customHeight="true" outlineLevel="0" collapsed="false">
      <c r="F26" s="1"/>
      <c r="G26" s="7"/>
      <c r="H26" s="12" t="s">
        <v>422</v>
      </c>
      <c r="I26" s="1" t="n">
        <v>8</v>
      </c>
      <c r="J26" s="1" t="n">
        <v>11</v>
      </c>
    </row>
    <row r="27" customFormat="false" ht="14.1" hidden="false" customHeight="true" outlineLevel="0" collapsed="false">
      <c r="F27" s="1"/>
      <c r="G27" s="7"/>
      <c r="H27" s="6" t="s">
        <v>423</v>
      </c>
      <c r="I27" s="1" t="n">
        <f aca="false">I26*I25</f>
        <v>2.84866409617544</v>
      </c>
      <c r="J27" s="1" t="n">
        <f aca="false">J26*J25</f>
        <v>3.91691313224123</v>
      </c>
    </row>
    <row r="28" customFormat="false" ht="14.1" hidden="false" customHeight="true" outlineLevel="0" collapsed="false">
      <c r="F28" s="1"/>
      <c r="G28" s="7"/>
      <c r="H28" s="6" t="s">
        <v>424</v>
      </c>
      <c r="I28" s="1" t="n">
        <f aca="false">I26*POWER(I21-I23,2)</f>
        <v>11.0136888888889</v>
      </c>
      <c r="J28" s="1" t="n">
        <f aca="false">J26*POWER(J21-J23,2)</f>
        <v>25.6751543209877</v>
      </c>
    </row>
    <row r="29" customFormat="false" ht="14.1" hidden="false" customHeight="true" outlineLevel="0" collapsed="false">
      <c r="F29" s="1"/>
      <c r="G29" s="7"/>
      <c r="H29" s="12" t="s">
        <v>425</v>
      </c>
      <c r="I29" s="7" t="n">
        <v>30</v>
      </c>
      <c r="J29" s="7" t="n">
        <v>36</v>
      </c>
      <c r="K29" s="2" t="s">
        <v>426</v>
      </c>
    </row>
    <row r="30" customFormat="false" ht="14.1" hidden="false" customHeight="true" outlineLevel="0" collapsed="false">
      <c r="F30" s="1"/>
      <c r="G30" s="7"/>
      <c r="H30" s="12" t="s">
        <v>427</v>
      </c>
      <c r="I30" s="1" t="n">
        <f aca="false">I29-I26</f>
        <v>22</v>
      </c>
      <c r="J30" s="1" t="n">
        <f aca="false">J29-J26</f>
        <v>25</v>
      </c>
    </row>
    <row r="31" customFormat="false" ht="14.1" hidden="false" customHeight="true" outlineLevel="0" collapsed="false">
      <c r="F31" s="1"/>
      <c r="G31" s="7"/>
      <c r="H31" s="12"/>
      <c r="I31" s="71"/>
      <c r="J31" s="71"/>
    </row>
    <row r="32" customFormat="false" ht="14.1" hidden="false" customHeight="true" outlineLevel="0" collapsed="false">
      <c r="F32" s="1"/>
      <c r="G32" s="7"/>
      <c r="H32" s="6" t="s">
        <v>428</v>
      </c>
      <c r="I32" s="1" t="n">
        <f aca="false">I30*POWER(I23,2)</f>
        <v>4.00497777777778</v>
      </c>
      <c r="J32" s="1" t="n">
        <f aca="false">J30*POWER(J23,2)</f>
        <v>11.2970679012346</v>
      </c>
    </row>
    <row r="33" customFormat="false" ht="14.1" hidden="false" customHeight="true" outlineLevel="0" collapsed="false">
      <c r="F33" s="1"/>
      <c r="G33" s="7"/>
      <c r="H33" s="12" t="s">
        <v>429</v>
      </c>
      <c r="I33" s="1" t="n">
        <f aca="false">I27+I32+I28</f>
        <v>17.8673307628421</v>
      </c>
      <c r="J33" s="1" t="n">
        <f aca="false">J27+J32+J28</f>
        <v>40.8891353544635</v>
      </c>
    </row>
    <row r="34" customFormat="false" ht="14.1" hidden="false" customHeight="true" outlineLevel="0" collapsed="false">
      <c r="F34" s="1"/>
      <c r="G34" s="7"/>
      <c r="H34" s="6" t="s">
        <v>430</v>
      </c>
      <c r="I34" s="36" t="n">
        <f aca="false">I33/I29</f>
        <v>0.595577692094737</v>
      </c>
      <c r="J34" s="36" t="n">
        <f aca="false">J33/J29</f>
        <v>1.13580931540176</v>
      </c>
    </row>
    <row r="35" customFormat="false" ht="14.1" hidden="false" customHeight="true" outlineLevel="0" collapsed="false">
      <c r="F35" s="1"/>
      <c r="G35" s="7"/>
      <c r="H35" s="12" t="s">
        <v>431</v>
      </c>
      <c r="I35" s="71" t="n">
        <f aca="false">SQRT(I34)</f>
        <v>0.771736802345681</v>
      </c>
      <c r="J35" s="36" t="n">
        <f aca="false">SQRT(J34)</f>
        <v>1.06574355048565</v>
      </c>
      <c r="K35" s="0" t="s">
        <v>432</v>
      </c>
    </row>
    <row r="36" customFormat="false" ht="14.1" hidden="false" customHeight="true" outlineLevel="0" collapsed="false">
      <c r="F36" s="1"/>
      <c r="G36" s="7"/>
    </row>
    <row r="37" customFormat="false" ht="14.1" hidden="false" customHeight="true" outlineLevel="0" collapsed="false">
      <c r="F37" s="1"/>
      <c r="G37" s="7"/>
    </row>
    <row r="38" customFormat="false" ht="14.1" hidden="false" customHeight="true" outlineLevel="0" collapsed="false">
      <c r="F38" s="1"/>
      <c r="G38" s="7"/>
    </row>
    <row r="39" customFormat="false" ht="14.1" hidden="false" customHeight="true" outlineLevel="0" collapsed="false">
      <c r="F39" s="1"/>
      <c r="G39" s="7"/>
    </row>
    <row r="40" customFormat="false" ht="14.1" hidden="false" customHeight="true" outlineLevel="0" collapsed="false">
      <c r="F40" s="1"/>
      <c r="G40" s="7"/>
      <c r="H40" s="12"/>
      <c r="I40" s="1"/>
      <c r="J40" s="1"/>
    </row>
    <row r="41" customFormat="false" ht="14.1" hidden="false" customHeight="true" outlineLevel="0" collapsed="false">
      <c r="A41" s="5" t="s">
        <v>61</v>
      </c>
      <c r="C41" s="12" t="s">
        <v>406</v>
      </c>
      <c r="D41" s="12" t="n">
        <f aca="false">I44+J44-2</f>
        <v>1217</v>
      </c>
      <c r="E41" s="12"/>
      <c r="F41" s="1"/>
      <c r="G41" s="7"/>
      <c r="H41" s="12"/>
      <c r="I41" s="1"/>
      <c r="J41" s="1"/>
    </row>
    <row r="42" customFormat="false" ht="14.1" hidden="false" customHeight="true" outlineLevel="0" collapsed="false">
      <c r="C42" s="12" t="s">
        <v>408</v>
      </c>
      <c r="D42" s="12" t="s">
        <v>418</v>
      </c>
      <c r="E42" s="12" t="s">
        <v>386</v>
      </c>
      <c r="F42" s="1" t="s">
        <v>291</v>
      </c>
      <c r="G42" s="7" t="s">
        <v>292</v>
      </c>
      <c r="H42" s="12"/>
      <c r="I42" s="1" t="s">
        <v>209</v>
      </c>
      <c r="J42" s="1" t="s">
        <v>193</v>
      </c>
    </row>
    <row r="43" customFormat="false" ht="14.1" hidden="false" customHeight="true" outlineLevel="0" collapsed="false">
      <c r="B43" s="0" t="s">
        <v>433</v>
      </c>
      <c r="F43" s="1"/>
      <c r="G43" s="7"/>
      <c r="H43" s="12"/>
      <c r="I43" s="1"/>
      <c r="J43" s="1"/>
    </row>
    <row r="44" customFormat="false" ht="14.1" hidden="false" customHeight="true" outlineLevel="0" collapsed="false">
      <c r="B44" s="0" t="n">
        <v>27.8</v>
      </c>
      <c r="C44" s="74" t="n">
        <f aca="false">CHIDIST(B44,15)</f>
        <v>0.0228550224540448</v>
      </c>
      <c r="D44" s="0" t="n">
        <f aca="false">TINV(C44,D41)</f>
        <v>2.27874195266352</v>
      </c>
      <c r="E44" s="52" t="n">
        <f aca="false">J45-I45</f>
        <v>0.0999999999999999</v>
      </c>
      <c r="F44" s="36" t="n">
        <f aca="false">E44/D44</f>
        <v>0.0438838631478717</v>
      </c>
      <c r="G44" s="46" t="n">
        <f aca="false">F44/SQRT(1/I44 + 1/J44)</f>
        <v>0.76599149738774</v>
      </c>
      <c r="H44" s="12" t="s">
        <v>285</v>
      </c>
      <c r="I44" s="1" t="n">
        <v>600</v>
      </c>
      <c r="J44" s="1" t="n">
        <v>619</v>
      </c>
      <c r="P44" s="1" t="n">
        <f aca="false">G44</f>
        <v>0.76599149738774</v>
      </c>
      <c r="Q44" s="1" t="n">
        <f aca="false">P44*SQRT(1/I44+1/J44)</f>
        <v>0.0438838631478717</v>
      </c>
      <c r="R44" s="1" t="n">
        <f aca="false">E44</f>
        <v>0.0999999999999999</v>
      </c>
      <c r="S44" s="1" t="n">
        <f aca="false">R44/Q44</f>
        <v>2.27874195266352</v>
      </c>
      <c r="T44" s="1" t="n">
        <f aca="false">D41</f>
        <v>1217</v>
      </c>
      <c r="U44" s="73" t="n">
        <f aca="false">TDIST(S44,T44,2)</f>
        <v>0.0228550224540484</v>
      </c>
    </row>
    <row r="45" customFormat="false" ht="14.1" hidden="false" customHeight="true" outlineLevel="0" collapsed="false">
      <c r="F45" s="1"/>
      <c r="G45" s="7"/>
      <c r="H45" s="12" t="s">
        <v>344</v>
      </c>
      <c r="I45" s="1" t="n">
        <v>1.87</v>
      </c>
      <c r="J45" s="1" t="n">
        <v>1.97</v>
      </c>
    </row>
    <row r="46" customFormat="false" ht="14.1" hidden="false" customHeight="true" outlineLevel="0" collapsed="false">
      <c r="F46" s="1"/>
      <c r="G46" s="7"/>
      <c r="H46" s="12"/>
    </row>
    <row r="47" customFormat="false" ht="14.1" hidden="false" customHeight="true" outlineLevel="0" collapsed="false">
      <c r="F47" s="1"/>
      <c r="G47" s="7"/>
      <c r="H47" s="12"/>
    </row>
    <row r="48" customFormat="false" ht="14.1" hidden="false" customHeight="true" outlineLevel="0" collapsed="false">
      <c r="F48" s="1"/>
      <c r="G48" s="7"/>
      <c r="H48" s="12"/>
    </row>
    <row r="49" customFormat="false" ht="14.1" hidden="false" customHeight="true" outlineLevel="0" collapsed="false">
      <c r="F49" s="1"/>
      <c r="G49" s="7"/>
      <c r="H49" s="12"/>
    </row>
    <row r="50" customFormat="false" ht="14.9" hidden="false" customHeight="true" outlineLevel="0" collapsed="false">
      <c r="A50" s="5" t="s">
        <v>20</v>
      </c>
      <c r="B50" s="0" t="s">
        <v>283</v>
      </c>
      <c r="C50" s="12" t="s">
        <v>406</v>
      </c>
      <c r="D50" s="12" t="n">
        <f aca="false">I53-1</f>
        <v>43</v>
      </c>
      <c r="E50" s="12"/>
      <c r="F50" s="1"/>
      <c r="G50" s="7"/>
      <c r="H50" s="12"/>
    </row>
    <row r="51" customFormat="false" ht="14.9" hidden="false" customHeight="true" outlineLevel="0" collapsed="false">
      <c r="A51" s="5" t="s">
        <v>434</v>
      </c>
      <c r="C51" s="12" t="s">
        <v>408</v>
      </c>
      <c r="D51" s="12" t="s">
        <v>418</v>
      </c>
      <c r="E51" s="12" t="s">
        <v>386</v>
      </c>
      <c r="F51" s="1" t="s">
        <v>291</v>
      </c>
      <c r="G51" s="7" t="s">
        <v>292</v>
      </c>
      <c r="H51" s="12"/>
      <c r="I51" s="1" t="s">
        <v>209</v>
      </c>
      <c r="J51" s="1" t="s">
        <v>193</v>
      </c>
    </row>
    <row r="52" customFormat="false" ht="14.1" hidden="false" customHeight="true" outlineLevel="0" collapsed="false">
      <c r="F52" s="1"/>
      <c r="G52" s="7"/>
      <c r="H52" s="12"/>
      <c r="I52" s="1"/>
      <c r="J52" s="1"/>
    </row>
    <row r="53" customFormat="false" ht="14.1" hidden="false" customHeight="true" outlineLevel="0" collapsed="false">
      <c r="C53" s="75" t="n">
        <v>0.009</v>
      </c>
      <c r="D53" s="0" t="n">
        <f aca="false">TINV(C53,D50)</f>
        <v>2.73609988992752</v>
      </c>
      <c r="E53" s="5" t="n">
        <f aca="false">J54-I54</f>
        <v>2.64</v>
      </c>
      <c r="F53" s="36" t="n">
        <f aca="false">E53/D53</f>
        <v>0.964877053545708</v>
      </c>
      <c r="G53" s="46" t="n">
        <f aca="false">F53/SQRT(1/I53 + 1/J53)</f>
        <v>4.52567453824279</v>
      </c>
      <c r="H53" s="12" t="s">
        <v>202</v>
      </c>
      <c r="I53" s="1" t="n">
        <v>44</v>
      </c>
      <c r="J53" s="1" t="n">
        <v>44</v>
      </c>
      <c r="P53" s="1" t="n">
        <f aca="false">G53</f>
        <v>4.52567453824279</v>
      </c>
      <c r="Q53" s="1" t="n">
        <f aca="false">P53*SQRT(1/I53+1/J53)</f>
        <v>0.964877053545708</v>
      </c>
      <c r="R53" s="1" t="n">
        <f aca="false">E53</f>
        <v>2.64</v>
      </c>
      <c r="S53" s="1" t="n">
        <f aca="false">R53/Q53</f>
        <v>2.73609988992752</v>
      </c>
      <c r="T53" s="1" t="n">
        <f aca="false">D50</f>
        <v>43</v>
      </c>
      <c r="U53" s="73" t="n">
        <f aca="false">TDIST(S53,T53,2)</f>
        <v>0.00900000000000004</v>
      </c>
      <c r="V53" s="1"/>
      <c r="W53" s="73"/>
    </row>
    <row r="54" customFormat="false" ht="14.1" hidden="false" customHeight="true" outlineLevel="0" collapsed="false">
      <c r="F54" s="1"/>
      <c r="G54" s="7"/>
      <c r="H54" s="12" t="s">
        <v>283</v>
      </c>
      <c r="I54" s="30" t="n">
        <v>4.86</v>
      </c>
      <c r="J54" s="30" t="n">
        <v>7.5</v>
      </c>
    </row>
    <row r="55" customFormat="false" ht="14.9" hidden="false" customHeight="true" outlineLevel="0" collapsed="false">
      <c r="B55" s="0" t="s">
        <v>344</v>
      </c>
      <c r="C55" s="12" t="s">
        <v>406</v>
      </c>
      <c r="D55" s="12" t="n">
        <f aca="false">I58-1</f>
        <v>43</v>
      </c>
      <c r="E55" s="12"/>
      <c r="F55" s="1"/>
      <c r="G55" s="7"/>
      <c r="H55" s="12"/>
      <c r="I55" s="1"/>
      <c r="J55" s="1"/>
    </row>
    <row r="56" customFormat="false" ht="14.1" hidden="false" customHeight="true" outlineLevel="0" collapsed="false">
      <c r="C56" s="12" t="s">
        <v>408</v>
      </c>
      <c r="D56" s="12" t="s">
        <v>418</v>
      </c>
      <c r="E56" s="12" t="s">
        <v>386</v>
      </c>
      <c r="F56" s="1" t="s">
        <v>291</v>
      </c>
      <c r="G56" s="7" t="s">
        <v>292</v>
      </c>
      <c r="H56" s="12"/>
      <c r="I56" s="1" t="s">
        <v>209</v>
      </c>
      <c r="J56" s="1" t="s">
        <v>193</v>
      </c>
    </row>
    <row r="57" customFormat="false" ht="14.1" hidden="false" customHeight="true" outlineLevel="0" collapsed="false">
      <c r="F57" s="1"/>
      <c r="G57" s="7"/>
      <c r="H57" s="12"/>
      <c r="I57" s="1"/>
      <c r="J57" s="1"/>
    </row>
    <row r="58" customFormat="false" ht="14.1" hidden="false" customHeight="true" outlineLevel="0" collapsed="false">
      <c r="C58" s="52" t="n">
        <v>0.045</v>
      </c>
      <c r="D58" s="0" t="n">
        <f aca="false">TINV(C58,D55)</f>
        <v>2.06485549363538</v>
      </c>
      <c r="E58" s="5" t="n">
        <f aca="false">J59-I59</f>
        <v>11.7</v>
      </c>
      <c r="F58" s="36" t="n">
        <f aca="false">E58/D58</f>
        <v>5.66625608235712</v>
      </c>
      <c r="G58" s="46" t="n">
        <f aca="false">F58/SQRT(1/I58 + 1/J58)</f>
        <v>26.5770968278832</v>
      </c>
      <c r="H58" s="12" t="s">
        <v>202</v>
      </c>
      <c r="I58" s="1" t="n">
        <v>44</v>
      </c>
      <c r="J58" s="1" t="n">
        <v>44</v>
      </c>
      <c r="P58" s="1" t="n">
        <f aca="false">G58</f>
        <v>26.5770968278832</v>
      </c>
      <c r="Q58" s="1" t="n">
        <f aca="false">P58*SQRT(1/I58+1/J58)</f>
        <v>5.66625608235712</v>
      </c>
      <c r="R58" s="1" t="n">
        <f aca="false">E58</f>
        <v>11.7</v>
      </c>
      <c r="S58" s="1" t="n">
        <f aca="false">R58/Q58</f>
        <v>2.06485549363538</v>
      </c>
      <c r="T58" s="1" t="n">
        <f aca="false">D55</f>
        <v>43</v>
      </c>
      <c r="U58" s="73" t="n">
        <f aca="false">TDIST(S58,T58,2)</f>
        <v>0.045</v>
      </c>
    </row>
    <row r="59" customFormat="false" ht="14.1" hidden="false" customHeight="true" outlineLevel="0" collapsed="false">
      <c r="H59" s="12" t="s">
        <v>344</v>
      </c>
      <c r="I59" s="51" t="n">
        <v>21.9</v>
      </c>
      <c r="J59" s="51" t="n">
        <v>33.6</v>
      </c>
    </row>
    <row r="60" customFormat="false" ht="14.1" hidden="false" customHeight="true" outlineLevel="0" collapsed="false">
      <c r="H60" s="12"/>
      <c r="I60" s="51"/>
      <c r="J60" s="51"/>
    </row>
    <row r="62" customFormat="false" ht="14.1" hidden="false" customHeight="true" outlineLevel="0" collapsed="false">
      <c r="C62" s="52"/>
      <c r="E62" s="5"/>
      <c r="H62" s="72"/>
    </row>
    <row r="63" customFormat="false" ht="14.1" hidden="false" customHeight="true" outlineLevel="0" collapsed="false">
      <c r="A63" s="5" t="s">
        <v>51</v>
      </c>
    </row>
    <row r="65" customFormat="false" ht="14.1" hidden="false" customHeight="true" outlineLevel="0" collapsed="false">
      <c r="B65" s="2" t="s">
        <v>435</v>
      </c>
      <c r="D65" s="5" t="s">
        <v>436</v>
      </c>
    </row>
    <row r="67" customFormat="false" ht="14.9" hidden="false" customHeight="true" outlineLevel="0" collapsed="false">
      <c r="B67" s="5" t="s">
        <v>283</v>
      </c>
      <c r="D67" s="6" t="s">
        <v>437</v>
      </c>
      <c r="E67" s="6" t="s">
        <v>437</v>
      </c>
      <c r="F67" s="5"/>
      <c r="G67" s="5"/>
      <c r="H67" s="5"/>
      <c r="I67" s="5"/>
      <c r="J67" s="5"/>
      <c r="K67" s="5"/>
      <c r="L67" s="5"/>
    </row>
    <row r="68" customFormat="false" ht="14.15" hidden="false" customHeight="true" outlineLevel="0" collapsed="false">
      <c r="D68" s="6" t="s">
        <v>386</v>
      </c>
      <c r="E68" s="6" t="s">
        <v>438</v>
      </c>
      <c r="F68" s="6" t="s">
        <v>439</v>
      </c>
      <c r="G68" s="6" t="s">
        <v>202</v>
      </c>
      <c r="H68" s="6" t="s">
        <v>408</v>
      </c>
      <c r="I68" s="5"/>
      <c r="J68" s="7" t="s">
        <v>440</v>
      </c>
      <c r="K68" s="7" t="s">
        <v>441</v>
      </c>
      <c r="L68" s="7" t="s">
        <v>292</v>
      </c>
    </row>
    <row r="69" customFormat="false" ht="14.1" hidden="false" customHeight="true" outlineLevel="0" collapsed="false">
      <c r="B69" s="0" t="s">
        <v>318</v>
      </c>
      <c r="D69" s="5" t="n">
        <v>0.6</v>
      </c>
      <c r="E69" s="52" t="n">
        <v>1.8</v>
      </c>
      <c r="F69" s="72" t="n">
        <f aca="false">D69/E69</f>
        <v>0.333333333333333</v>
      </c>
      <c r="G69" s="0" t="n">
        <v>52</v>
      </c>
      <c r="H69" s="0" t="n">
        <f aca="false">TDIST(F69,G69-1,2)</f>
        <v>0.740249249571866</v>
      </c>
      <c r="J69" s="36" t="n">
        <f aca="false">TINV(H69,2*G69-2)</f>
        <v>0.332426745351184</v>
      </c>
      <c r="K69" s="36" t="n">
        <f aca="false">D69/J69</f>
        <v>1.80490892622417</v>
      </c>
      <c r="L69" s="1" t="n">
        <f aca="false">K69*SQRT(G69/2)</f>
        <v>9.20326583507484</v>
      </c>
      <c r="M69" s="5"/>
    </row>
    <row r="70" customFormat="false" ht="14.1" hidden="false" customHeight="true" outlineLevel="0" collapsed="false">
      <c r="B70" s="0" t="s">
        <v>319</v>
      </c>
      <c r="D70" s="5" t="n">
        <v>0.3</v>
      </c>
      <c r="E70" s="52" t="n">
        <v>1</v>
      </c>
      <c r="F70" s="72" t="n">
        <f aca="false">D70/E70</f>
        <v>0.3</v>
      </c>
      <c r="G70" s="0" t="n">
        <v>42</v>
      </c>
      <c r="H70" s="0" t="n">
        <f aca="false">TDIST(F70,G70-1,2)</f>
        <v>0.765692955850725</v>
      </c>
      <c r="J70" s="36" t="n">
        <f aca="false">TINV(H70,2*G70-2)</f>
        <v>0.299004684761006</v>
      </c>
      <c r="K70" s="36" t="n">
        <f aca="false">D70/J70</f>
        <v>1.00332876135298</v>
      </c>
      <c r="L70" s="1" t="n">
        <f aca="false">K70*SQRT(G70/2)</f>
        <v>4.59782999582633</v>
      </c>
      <c r="M70" s="5"/>
    </row>
    <row r="71" customFormat="false" ht="14.1" hidden="false" customHeight="true" outlineLevel="0" collapsed="false">
      <c r="B71" s="0" t="s">
        <v>320</v>
      </c>
      <c r="D71" s="5" t="n">
        <v>0.8</v>
      </c>
      <c r="E71" s="52" t="n">
        <v>0.6</v>
      </c>
      <c r="F71" s="72" t="n">
        <f aca="false">D71/E71</f>
        <v>1.33333333333333</v>
      </c>
      <c r="G71" s="0" t="n">
        <v>116</v>
      </c>
      <c r="H71" s="0" t="n">
        <f aca="false">TDIST(F71,G71-1,2)</f>
        <v>0.185057582312142</v>
      </c>
      <c r="J71" s="36" t="n">
        <f aca="false">TINV(H71,2*G71-2)</f>
        <v>1.32932569127847</v>
      </c>
      <c r="K71" s="36" t="n">
        <f aca="false">D71/J71</f>
        <v>0.601808875920098</v>
      </c>
      <c r="L71" s="1" t="n">
        <f aca="false">K71*SQRT(G71/2)</f>
        <v>4.58323985210247</v>
      </c>
      <c r="M71" s="5"/>
    </row>
    <row r="72" customFormat="false" ht="14.1" hidden="false" customHeight="true" outlineLevel="0" collapsed="false">
      <c r="F72" s="0" t="n">
        <v>1.96</v>
      </c>
      <c r="G72" s="0" t="n">
        <v>1000</v>
      </c>
      <c r="H72" s="72" t="n">
        <f aca="false">TDIST(F72,G72-1,2)</f>
        <v>0.0502734627338134</v>
      </c>
      <c r="I72" s="0" t="s">
        <v>442</v>
      </c>
      <c r="J72" s="36" t="n">
        <f aca="false">TINV(H72,2*G72-2)</f>
        <v>1.95881421771978</v>
      </c>
      <c r="K72" s="36"/>
      <c r="L72" s="1"/>
    </row>
    <row r="73" customFormat="false" ht="14.1" hidden="false" customHeight="true" outlineLevel="0" collapsed="false">
      <c r="F73" s="0" t="n">
        <v>5</v>
      </c>
      <c r="G73" s="0" t="n">
        <v>10</v>
      </c>
      <c r="H73" s="72" t="n">
        <f aca="false">TDIST(F73,G73-1,2)</f>
        <v>0.000738967909803242</v>
      </c>
      <c r="I73" s="0" t="s">
        <v>442</v>
      </c>
      <c r="J73" s="36" t="n">
        <f aca="false">TINV(H73,2*G73-2)</f>
        <v>4.05746113895378</v>
      </c>
      <c r="K73" s="36"/>
      <c r="L73" s="1"/>
    </row>
    <row r="74" customFormat="false" ht="14.1" hidden="false" customHeight="true" outlineLevel="0" collapsed="false">
      <c r="J74" s="36"/>
      <c r="K74" s="36"/>
      <c r="L74" s="1"/>
    </row>
    <row r="75" customFormat="false" ht="14.1" hidden="false" customHeight="true" outlineLevel="0" collapsed="false">
      <c r="J75" s="36"/>
      <c r="K75" s="36"/>
      <c r="L75" s="1"/>
    </row>
    <row r="76" customFormat="false" ht="14.9" hidden="false" customHeight="true" outlineLevel="0" collapsed="false">
      <c r="B76" s="5" t="s">
        <v>344</v>
      </c>
      <c r="D76" s="6" t="s">
        <v>437</v>
      </c>
      <c r="E76" s="5"/>
      <c r="F76" s="5"/>
      <c r="G76" s="5"/>
      <c r="H76" s="5"/>
      <c r="I76" s="5"/>
      <c r="J76" s="46"/>
      <c r="K76" s="46"/>
      <c r="L76" s="7"/>
    </row>
    <row r="77" customFormat="false" ht="14.9" hidden="false" customHeight="true" outlineLevel="0" collapsed="false">
      <c r="D77" s="6" t="s">
        <v>386</v>
      </c>
      <c r="E77" s="6" t="s">
        <v>438</v>
      </c>
      <c r="F77" s="6" t="s">
        <v>439</v>
      </c>
      <c r="G77" s="6" t="s">
        <v>202</v>
      </c>
      <c r="H77" s="6" t="s">
        <v>408</v>
      </c>
      <c r="I77" s="5"/>
      <c r="J77" s="7" t="s">
        <v>443</v>
      </c>
      <c r="K77" s="7" t="s">
        <v>441</v>
      </c>
      <c r="L77" s="7" t="s">
        <v>292</v>
      </c>
      <c r="M77" s="12"/>
      <c r="N77" s="12"/>
    </row>
    <row r="78" customFormat="false" ht="14.1" hidden="false" customHeight="true" outlineLevel="0" collapsed="false">
      <c r="B78" s="0" t="s">
        <v>318</v>
      </c>
      <c r="D78" s="5" t="n">
        <v>4.8</v>
      </c>
      <c r="E78" s="5" t="n">
        <v>9.4</v>
      </c>
      <c r="F78" s="72" t="n">
        <f aca="false">D78/E78</f>
        <v>0.51063829787234</v>
      </c>
      <c r="G78" s="0" t="n">
        <v>52</v>
      </c>
      <c r="H78" s="0" t="n">
        <f aca="false">TDIST(F78,G78-1,2)</f>
        <v>0.61180767667452</v>
      </c>
      <c r="J78" s="36" t="n">
        <f aca="false">TINV(H78,2*G78-1)</f>
        <v>0.509047543322338</v>
      </c>
      <c r="K78" s="36" t="n">
        <f aca="false">D78/J78</f>
        <v>9.42937464872619</v>
      </c>
      <c r="L78" s="1" t="n">
        <f aca="false">K78*SQRT(G78/2)</f>
        <v>48.080565334832</v>
      </c>
      <c r="M78" s="5"/>
    </row>
    <row r="79" customFormat="false" ht="14.1" hidden="false" customHeight="true" outlineLevel="0" collapsed="false">
      <c r="B79" s="0" t="s">
        <v>319</v>
      </c>
      <c r="D79" s="5" t="n">
        <v>2.4</v>
      </c>
      <c r="E79" s="5" t="n">
        <v>5</v>
      </c>
      <c r="F79" s="72" t="n">
        <f aca="false">D79/E79</f>
        <v>0.48</v>
      </c>
      <c r="G79" s="0" t="n">
        <v>42</v>
      </c>
      <c r="H79" s="0" t="n">
        <f aca="false">TDIST(F79,G79-1,2)</f>
        <v>0.633778375084536</v>
      </c>
      <c r="J79" s="36" t="n">
        <f aca="false">TINV(H79,2*G79-1)</f>
        <v>0.478181155438075</v>
      </c>
      <c r="K79" s="36" t="n">
        <f aca="false">D79/J79</f>
        <v>5.01901836303293</v>
      </c>
      <c r="L79" s="1" t="n">
        <f aca="false">K79*SQRT(G79/2)</f>
        <v>23.0000315629717</v>
      </c>
      <c r="M79" s="5"/>
    </row>
    <row r="80" customFormat="false" ht="14.1" hidden="false" customHeight="true" outlineLevel="0" collapsed="false">
      <c r="B80" s="0" t="s">
        <v>320</v>
      </c>
      <c r="D80" s="5" t="n">
        <v>4.4</v>
      </c>
      <c r="E80" s="5" t="n">
        <v>2.6</v>
      </c>
      <c r="F80" s="72" t="n">
        <f aca="false">D80/E80</f>
        <v>1.69230769230769</v>
      </c>
      <c r="G80" s="0" t="n">
        <v>116</v>
      </c>
      <c r="H80" s="0" t="n">
        <f aca="false">TDIST(F80,G80-1,2)</f>
        <v>0.0932950707460588</v>
      </c>
      <c r="J80" s="36" t="n">
        <f aca="false">TINV(H80,2*G80-1)</f>
        <v>1.68522747712602</v>
      </c>
      <c r="K80" s="36" t="n">
        <f aca="false">D80/J80</f>
        <v>2.61092348642674</v>
      </c>
      <c r="L80" s="1" t="n">
        <f aca="false">K80*SQRT(G80/2)</f>
        <v>19.8842008693972</v>
      </c>
      <c r="M80" s="5"/>
    </row>
    <row r="81" customFormat="false" ht="14.1" hidden="false" customHeight="true" outlineLevel="0" collapsed="false">
      <c r="H81" s="72"/>
    </row>
    <row r="87" customFormat="false" ht="14.1" hidden="false" customHeight="true" outlineLevel="0" collapsed="false">
      <c r="A87" s="10" t="s">
        <v>12</v>
      </c>
      <c r="J87" s="22"/>
    </row>
    <row r="88" customFormat="false" ht="14.1" hidden="false" customHeight="true" outlineLevel="0" collapsed="false">
      <c r="B88" s="56"/>
      <c r="J88" s="22"/>
    </row>
    <row r="89" customFormat="false" ht="14.1" hidden="false" customHeight="true" outlineLevel="0" collapsed="false">
      <c r="B89" s="56"/>
      <c r="J89" s="22"/>
    </row>
    <row r="90" customFormat="false" ht="14.1" hidden="false" customHeight="true" outlineLevel="0" collapsed="false">
      <c r="A90" s="10"/>
      <c r="J90" s="22"/>
    </row>
    <row r="91" customFormat="false" ht="14.1" hidden="false" customHeight="true" outlineLevel="0" collapsed="false">
      <c r="B91" s="1"/>
    </row>
    <row r="92" customFormat="false" ht="14.1" hidden="false" customHeight="true" outlineLevel="0" collapsed="false">
      <c r="B92" s="5" t="s">
        <v>283</v>
      </c>
      <c r="C92" s="7" t="s">
        <v>284</v>
      </c>
      <c r="D92" s="5"/>
      <c r="E92" s="7" t="s">
        <v>444</v>
      </c>
      <c r="F92" s="7" t="s">
        <v>445</v>
      </c>
      <c r="G92" s="7" t="s">
        <v>386</v>
      </c>
      <c r="H92" s="7" t="s">
        <v>291</v>
      </c>
      <c r="I92" s="7" t="s">
        <v>292</v>
      </c>
      <c r="J92" s="7" t="s">
        <v>202</v>
      </c>
      <c r="L92" s="1"/>
    </row>
    <row r="93" customFormat="false" ht="14.1" hidden="false" customHeight="true" outlineLevel="0" collapsed="false">
      <c r="C93" s="1"/>
      <c r="E93" s="1"/>
      <c r="F93" s="1"/>
      <c r="G93" s="1"/>
      <c r="H93" s="1"/>
      <c r="I93" s="1"/>
      <c r="J93" s="1"/>
      <c r="L93" s="1"/>
    </row>
    <row r="94" customFormat="false" ht="14.1" hidden="false" customHeight="true" outlineLevel="0" collapsed="false">
      <c r="B94" s="0" t="s">
        <v>193</v>
      </c>
      <c r="C94" s="1" t="n">
        <v>8.5</v>
      </c>
      <c r="E94" s="1" t="n">
        <v>6.6</v>
      </c>
      <c r="F94" s="1" t="n">
        <v>10.5</v>
      </c>
      <c r="G94" s="1" t="n">
        <f aca="false">F94-E94</f>
        <v>3.9</v>
      </c>
      <c r="H94" s="1" t="n">
        <f aca="false">G94/(2*1.96)</f>
        <v>0.994897959183674</v>
      </c>
      <c r="I94" s="1" t="n">
        <f aca="false">H94*SQRT(J94)</f>
        <v>6.44767569484456</v>
      </c>
      <c r="J94" s="1" t="n">
        <v>42</v>
      </c>
      <c r="L94" s="1"/>
    </row>
    <row r="95" customFormat="false" ht="14.1" hidden="false" customHeight="true" outlineLevel="0" collapsed="false">
      <c r="B95" s="0" t="s">
        <v>446</v>
      </c>
      <c r="C95" s="1" t="n">
        <v>10.1</v>
      </c>
      <c r="E95" s="1" t="n">
        <v>8.1</v>
      </c>
      <c r="F95" s="1" t="n">
        <v>12.1</v>
      </c>
      <c r="G95" s="1" t="n">
        <f aca="false">F95-E95</f>
        <v>4</v>
      </c>
      <c r="H95" s="1" t="n">
        <f aca="false">G95/(2*1.96)</f>
        <v>1.02040816326531</v>
      </c>
      <c r="I95" s="1" t="n">
        <f aca="false">H95*SQRT(J95)</f>
        <v>6.99556591877658</v>
      </c>
      <c r="J95" s="1" t="n">
        <v>47</v>
      </c>
      <c r="L95" s="1"/>
    </row>
    <row r="96" customFormat="false" ht="14.1" hidden="false" customHeight="true" outlineLevel="0" collapsed="false">
      <c r="B96" s="0" t="s">
        <v>447</v>
      </c>
      <c r="C96" s="1" t="n">
        <v>10.4</v>
      </c>
      <c r="E96" s="1" t="n">
        <v>8.5</v>
      </c>
      <c r="F96" s="1" t="n">
        <v>12.2</v>
      </c>
      <c r="G96" s="1" t="n">
        <f aca="false">F96-E96</f>
        <v>3.7</v>
      </c>
      <c r="H96" s="1" t="n">
        <f aca="false">G96/(2*1.96)</f>
        <v>0.943877551020408</v>
      </c>
      <c r="I96" s="1" t="n">
        <f aca="false">H96*SQRT(J96)</f>
        <v>6.67422216936282</v>
      </c>
      <c r="J96" s="1" t="n">
        <v>50</v>
      </c>
      <c r="L96" s="1"/>
    </row>
    <row r="97" customFormat="false" ht="14.1" hidden="false" customHeight="true" outlineLevel="0" collapsed="false">
      <c r="B97" s="1"/>
    </row>
    <row r="98" customFormat="false" ht="14.1" hidden="false" customHeight="true" outlineLevel="0" collapsed="false">
      <c r="A98" s="56"/>
      <c r="B98" s="1"/>
    </row>
    <row r="99" customFormat="false" ht="14.1" hidden="false" customHeight="true" outlineLevel="0" collapsed="false">
      <c r="A99" s="56"/>
      <c r="B99" s="1"/>
    </row>
    <row r="100" customFormat="false" ht="14.1" hidden="false" customHeight="true" outlineLevel="0" collapsed="false">
      <c r="B100" s="1"/>
      <c r="C100" s="0" t="s">
        <v>437</v>
      </c>
    </row>
    <row r="101" customFormat="false" ht="14.1" hidden="false" customHeight="true" outlineLevel="0" collapsed="false">
      <c r="B101" s="5" t="s">
        <v>344</v>
      </c>
      <c r="C101" s="7" t="s">
        <v>284</v>
      </c>
      <c r="D101" s="5"/>
      <c r="E101" s="7" t="s">
        <v>444</v>
      </c>
      <c r="F101" s="7" t="s">
        <v>445</v>
      </c>
      <c r="G101" s="7" t="s">
        <v>386</v>
      </c>
      <c r="H101" s="7" t="s">
        <v>291</v>
      </c>
      <c r="I101" s="7" t="s">
        <v>292</v>
      </c>
      <c r="J101" s="7" t="s">
        <v>202</v>
      </c>
      <c r="L101" s="1"/>
    </row>
    <row r="102" customFormat="false" ht="14.1" hidden="false" customHeight="true" outlineLevel="0" collapsed="false">
      <c r="C102" s="1"/>
      <c r="E102" s="1"/>
      <c r="F102" s="1"/>
      <c r="G102" s="1"/>
      <c r="H102" s="1"/>
      <c r="I102" s="1"/>
      <c r="J102" s="1"/>
      <c r="L102" s="1"/>
    </row>
    <row r="103" customFormat="false" ht="14.1" hidden="false" customHeight="true" outlineLevel="0" collapsed="false">
      <c r="B103" s="0" t="s">
        <v>193</v>
      </c>
      <c r="C103" s="1" t="n">
        <v>20.2</v>
      </c>
      <c r="E103" s="1" t="n">
        <v>16.5</v>
      </c>
      <c r="F103" s="1" t="n">
        <v>24</v>
      </c>
      <c r="G103" s="1" t="n">
        <f aca="false">F103-E103</f>
        <v>7.5</v>
      </c>
      <c r="H103" s="1" t="n">
        <f aca="false">G103/(2*1.96)</f>
        <v>1.91326530612245</v>
      </c>
      <c r="I103" s="1" t="n">
        <f aca="false">H103*SQRT(J103)</f>
        <v>12.3993763362395</v>
      </c>
      <c r="J103" s="1" t="n">
        <v>42</v>
      </c>
      <c r="L103" s="1"/>
    </row>
    <row r="104" customFormat="false" ht="14.1" hidden="false" customHeight="true" outlineLevel="0" collapsed="false">
      <c r="B104" s="0" t="s">
        <v>446</v>
      </c>
      <c r="C104" s="1" t="n">
        <v>22.1</v>
      </c>
      <c r="E104" s="1" t="n">
        <v>18.1</v>
      </c>
      <c r="F104" s="1" t="n">
        <v>26</v>
      </c>
      <c r="G104" s="1" t="n">
        <f aca="false">F104-E104</f>
        <v>7.9</v>
      </c>
      <c r="H104" s="1" t="n">
        <f aca="false">G104/(2*1.96)</f>
        <v>2.01530612244898</v>
      </c>
      <c r="I104" s="1" t="n">
        <f aca="false">H104*SQRT(J104)</f>
        <v>13.8162426895837</v>
      </c>
      <c r="J104" s="1" t="n">
        <v>47</v>
      </c>
      <c r="L104" s="1"/>
    </row>
    <row r="105" customFormat="false" ht="14.1" hidden="false" customHeight="true" outlineLevel="0" collapsed="false">
      <c r="B105" s="0" t="s">
        <v>447</v>
      </c>
      <c r="C105" s="1" t="n">
        <v>23</v>
      </c>
      <c r="E105" s="1" t="n">
        <v>19.3</v>
      </c>
      <c r="F105" s="1" t="n">
        <v>26.6</v>
      </c>
      <c r="G105" s="1" t="n">
        <f aca="false">F105-E105</f>
        <v>7.3</v>
      </c>
      <c r="H105" s="1" t="n">
        <f aca="false">G105/(2*1.96)</f>
        <v>1.86224489795918</v>
      </c>
      <c r="I105" s="1" t="n">
        <f aca="false">H105*SQRT(J105)</f>
        <v>13.1680599557699</v>
      </c>
      <c r="J105" s="1" t="n">
        <v>50</v>
      </c>
      <c r="L105" s="1"/>
    </row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W99"/>
  <sheetViews>
    <sheetView windowProtection="false" showFormulas="false" showGridLines="true" showRowColHeaders="true" showZeros="true" rightToLeft="false" tabSelected="false" showOutlineSymbols="true" defaultGridColor="true" view="normal" topLeftCell="J13" colorId="64" zoomScale="120" zoomScaleNormal="120" zoomScalePageLayoutView="100" workbookViewId="0">
      <selection pane="topLeft" activeCell="Q64" activeCellId="0" sqref="Q64"/>
    </sheetView>
  </sheetViews>
  <sheetFormatPr defaultRowHeight="14.1"/>
  <cols>
    <col collapsed="false" hidden="false" max="1" min="1" style="0" width="11.5204081632653"/>
    <col collapsed="false" hidden="false" max="2" min="2" style="0" width="30.3979591836735"/>
    <col collapsed="false" hidden="false" max="4" min="3" style="0" width="11.5204081632653"/>
    <col collapsed="false" hidden="false" max="5" min="5" style="25" width="11.5204081632653"/>
    <col collapsed="false" hidden="false" max="7" min="6" style="0" width="11.5204081632653"/>
    <col collapsed="false" hidden="false" max="8" min="8" style="25" width="11.5204081632653"/>
    <col collapsed="false" hidden="false" max="13" min="9" style="0" width="11.5204081632653"/>
    <col collapsed="false" hidden="false" max="14" min="14" style="5" width="11.5204081632653"/>
    <col collapsed="false" hidden="false" max="15" min="15" style="76" width="11.5204081632653"/>
    <col collapsed="false" hidden="false" max="16" min="16" style="0" width="10.9438775510204"/>
    <col collapsed="false" hidden="false" max="17" min="17" style="0" width="11.5204081632653"/>
    <col collapsed="false" hidden="false" max="18" min="18" style="30" width="13.7244897959184"/>
    <col collapsed="false" hidden="false" max="19" min="19" style="30" width="11.5204081632653"/>
    <col collapsed="false" hidden="false" max="20" min="20" style="0" width="11.5204081632653"/>
    <col collapsed="false" hidden="false" max="21" min="21" style="0" width="13.3979591836735"/>
    <col collapsed="false" hidden="false" max="1025" min="22" style="0" width="11.5204081632653"/>
  </cols>
  <sheetData>
    <row r="1" customFormat="false" ht="14.1" hidden="false" customHeight="true" outlineLevel="0" collapsed="false">
      <c r="O1" s="77"/>
    </row>
    <row r="2" customFormat="false" ht="14.1" hidden="false" customHeight="true" outlineLevel="0" collapsed="false">
      <c r="O2" s="77"/>
    </row>
    <row r="3" customFormat="false" ht="17.55" hidden="false" customHeight="true" outlineLevel="0" collapsed="false">
      <c r="C3" s="78" t="s">
        <v>448</v>
      </c>
      <c r="D3" s="78"/>
      <c r="E3" s="79"/>
      <c r="F3" s="78"/>
      <c r="G3" s="78"/>
      <c r="H3" s="79"/>
      <c r="I3" s="78"/>
      <c r="J3" s="4"/>
      <c r="K3" s="4"/>
      <c r="O3" s="77"/>
    </row>
    <row r="4" customFormat="false" ht="17.55" hidden="false" customHeight="true" outlineLevel="0" collapsed="false">
      <c r="C4" s="78" t="s">
        <v>449</v>
      </c>
      <c r="D4" s="78"/>
      <c r="E4" s="79"/>
      <c r="F4" s="78"/>
      <c r="G4" s="78"/>
      <c r="H4" s="79"/>
      <c r="I4" s="78"/>
      <c r="J4" s="4"/>
      <c r="K4" s="4"/>
      <c r="O4" s="77"/>
    </row>
    <row r="5" customFormat="false" ht="17.55" hidden="false" customHeight="true" outlineLevel="0" collapsed="false">
      <c r="C5" s="78" t="s">
        <v>450</v>
      </c>
      <c r="D5" s="78"/>
      <c r="E5" s="79"/>
      <c r="F5" s="78"/>
      <c r="G5" s="78"/>
      <c r="H5" s="79"/>
      <c r="I5" s="78"/>
      <c r="J5" s="4"/>
      <c r="K5" s="4"/>
      <c r="O5" s="77"/>
    </row>
    <row r="6" customFormat="false" ht="17.55" hidden="false" customHeight="true" outlineLevel="0" collapsed="false">
      <c r="C6" s="78" t="s">
        <v>451</v>
      </c>
      <c r="D6" s="78"/>
      <c r="E6" s="79"/>
      <c r="F6" s="78"/>
      <c r="G6" s="78"/>
      <c r="H6" s="79"/>
      <c r="I6" s="78"/>
      <c r="J6" s="4"/>
      <c r="K6" s="4"/>
      <c r="O6" s="77"/>
    </row>
    <row r="7" customFormat="false" ht="17.55" hidden="false" customHeight="true" outlineLevel="0" collapsed="false">
      <c r="C7" s="78" t="s">
        <v>452</v>
      </c>
      <c r="D7" s="78"/>
      <c r="E7" s="79"/>
      <c r="F7" s="78"/>
      <c r="G7" s="78"/>
      <c r="H7" s="79"/>
      <c r="I7" s="78"/>
      <c r="J7" s="4"/>
      <c r="K7" s="4"/>
      <c r="O7" s="77"/>
    </row>
    <row r="8" customFormat="false" ht="17.55" hidden="false" customHeight="true" outlineLevel="0" collapsed="false">
      <c r="C8" s="78" t="s">
        <v>453</v>
      </c>
      <c r="D8" s="78"/>
      <c r="E8" s="79"/>
      <c r="F8" s="78"/>
      <c r="G8" s="78"/>
      <c r="H8" s="79"/>
      <c r="I8" s="78"/>
      <c r="J8" s="4"/>
      <c r="K8" s="4"/>
      <c r="O8" s="77"/>
    </row>
    <row r="9" customFormat="false" ht="17.55" hidden="false" customHeight="true" outlineLevel="0" collapsed="false">
      <c r="C9" s="78" t="s">
        <v>454</v>
      </c>
      <c r="D9" s="78"/>
      <c r="E9" s="79"/>
      <c r="F9" s="78"/>
      <c r="G9" s="78"/>
      <c r="H9" s="79"/>
      <c r="I9" s="78"/>
      <c r="J9" s="4"/>
      <c r="K9" s="4"/>
      <c r="O9" s="77"/>
    </row>
    <row r="10" customFormat="false" ht="17.55" hidden="false" customHeight="true" outlineLevel="0" collapsed="false">
      <c r="C10" s="78" t="s">
        <v>455</v>
      </c>
      <c r="D10" s="78"/>
      <c r="E10" s="79"/>
      <c r="F10" s="78"/>
      <c r="G10" s="78"/>
      <c r="H10" s="79"/>
      <c r="I10" s="78"/>
      <c r="J10" s="4"/>
      <c r="K10" s="4"/>
      <c r="O10" s="77"/>
    </row>
    <row r="11" customFormat="false" ht="17.55" hidden="false" customHeight="true" outlineLevel="0" collapsed="false">
      <c r="C11" s="78" t="s">
        <v>456</v>
      </c>
      <c r="D11" s="78"/>
      <c r="E11" s="79"/>
      <c r="F11" s="78"/>
      <c r="G11" s="78"/>
      <c r="H11" s="79"/>
      <c r="I11" s="78"/>
      <c r="J11" s="4"/>
      <c r="K11" s="4"/>
      <c r="O11" s="77"/>
    </row>
    <row r="12" customFormat="false" ht="17.55" hidden="false" customHeight="true" outlineLevel="0" collapsed="false">
      <c r="C12" s="78" t="s">
        <v>457</v>
      </c>
      <c r="D12" s="78"/>
      <c r="E12" s="79"/>
      <c r="F12" s="78"/>
      <c r="G12" s="78"/>
      <c r="H12" s="79"/>
      <c r="I12" s="78"/>
      <c r="J12" s="4"/>
      <c r="K12" s="4"/>
      <c r="O12" s="77"/>
    </row>
    <row r="13" customFormat="false" ht="17.55" hidden="false" customHeight="true" outlineLevel="0" collapsed="false">
      <c r="C13" s="78" t="s">
        <v>458</v>
      </c>
      <c r="D13" s="78"/>
      <c r="E13" s="79"/>
      <c r="F13" s="78"/>
      <c r="G13" s="78"/>
      <c r="H13" s="79"/>
      <c r="I13" s="78"/>
      <c r="J13" s="4"/>
      <c r="K13" s="4"/>
      <c r="O13" s="77"/>
    </row>
    <row r="14" customFormat="false" ht="17.55" hidden="false" customHeight="true" outlineLevel="0" collapsed="false">
      <c r="C14" s="78" t="s">
        <v>459</v>
      </c>
      <c r="D14" s="78"/>
      <c r="E14" s="79"/>
      <c r="F14" s="78"/>
      <c r="G14" s="78"/>
      <c r="H14" s="79"/>
      <c r="I14" s="78"/>
      <c r="J14" s="4"/>
      <c r="K14" s="4"/>
      <c r="O14" s="80" t="s">
        <v>460</v>
      </c>
      <c r="V14" s="7" t="s">
        <v>461</v>
      </c>
    </row>
    <row r="15" customFormat="false" ht="14.1" hidden="false" customHeight="true" outlineLevel="0" collapsed="false">
      <c r="O15" s="81" t="n">
        <v>0.17</v>
      </c>
      <c r="V15" s="47" t="n">
        <v>0.22</v>
      </c>
    </row>
    <row r="16" customFormat="false" ht="14.1" hidden="false" customHeight="true" outlineLevel="0" collapsed="false">
      <c r="C16" s="0" t="s">
        <v>462</v>
      </c>
      <c r="F16" s="0" t="s">
        <v>463</v>
      </c>
      <c r="O16" s="47" t="n">
        <v>0.18</v>
      </c>
      <c r="Q16" s="0" t="s">
        <v>464</v>
      </c>
      <c r="V16" s="47" t="n">
        <v>0.29</v>
      </c>
    </row>
    <row r="17" customFormat="false" ht="14.1" hidden="false" customHeight="true" outlineLevel="0" collapsed="false">
      <c r="C17" s="6"/>
      <c r="D17" s="6" t="s">
        <v>437</v>
      </c>
      <c r="F17" s="6"/>
      <c r="G17" s="6" t="s">
        <v>437</v>
      </c>
      <c r="N17" s="5" t="s">
        <v>171</v>
      </c>
      <c r="O17" s="47" t="n">
        <v>0.2</v>
      </c>
      <c r="Q17" s="0" t="s">
        <v>465</v>
      </c>
      <c r="V17" s="81" t="n">
        <v>0.32</v>
      </c>
    </row>
    <row r="18" customFormat="false" ht="14.1" hidden="false" customHeight="true" outlineLevel="0" collapsed="false">
      <c r="C18" s="6" t="s">
        <v>284</v>
      </c>
      <c r="D18" s="6" t="str">
        <f aca="false">'Days per Episode'!J15</f>
        <v>SD</v>
      </c>
      <c r="E18" s="28" t="s">
        <v>171</v>
      </c>
      <c r="F18" s="6" t="s">
        <v>284</v>
      </c>
      <c r="G18" s="6" t="s">
        <v>292</v>
      </c>
      <c r="H18" s="28" t="s">
        <v>171</v>
      </c>
      <c r="L18" s="5" t="s">
        <v>466</v>
      </c>
      <c r="N18" s="5" t="s">
        <v>467</v>
      </c>
      <c r="O18" s="47" t="n">
        <v>0.22</v>
      </c>
      <c r="Q18" s="0" t="s">
        <v>468</v>
      </c>
      <c r="V18" s="81" t="n">
        <v>0.41</v>
      </c>
    </row>
    <row r="19" customFormat="false" ht="14.1" hidden="false" customHeight="true" outlineLevel="0" collapsed="false">
      <c r="B19" s="5" t="s">
        <v>469</v>
      </c>
      <c r="N19" s="5" t="s">
        <v>470</v>
      </c>
      <c r="O19" s="47" t="n">
        <v>0.26</v>
      </c>
      <c r="V19" s="81" t="n">
        <v>0.41</v>
      </c>
    </row>
    <row r="20" customFormat="false" ht="14.1" hidden="false" customHeight="true" outlineLevel="0" collapsed="false">
      <c r="N20" s="5" t="s">
        <v>471</v>
      </c>
      <c r="O20" s="81" t="n">
        <v>0.35</v>
      </c>
      <c r="V20" s="47" t="n">
        <v>0.46</v>
      </c>
    </row>
    <row r="21" customFormat="false" ht="14.1" hidden="false" customHeight="true" outlineLevel="0" collapsed="false">
      <c r="B21" s="0" t="str">
        <f aca="false">'Days per Episode'!B18</f>
        <v>Anderson-1972</v>
      </c>
      <c r="C21" s="0" t="n">
        <f aca="false">'Days per Episode'!G18</f>
        <v>3.96</v>
      </c>
      <c r="D21" s="0" t="n">
        <f aca="false">'Days per Episode'!J18</f>
        <v>3.83704104747395</v>
      </c>
      <c r="E21" s="25" t="n">
        <f aca="false">D21/C21</f>
        <v>0.968949759463119</v>
      </c>
      <c r="F21" s="0" t="n">
        <f aca="false">'Days per Episode'!Q18</f>
        <v>4.18</v>
      </c>
      <c r="G21" s="0" t="n">
        <f aca="false">'Days per Episode'!T18</f>
        <v>3.43023162483235</v>
      </c>
      <c r="H21" s="25" t="n">
        <f aca="false">G21/F21</f>
        <v>0.820629575318745</v>
      </c>
      <c r="J21" s="0" t="str">
        <f aca="false">'Days per Episode'!W18</f>
        <v>Anderson-1972</v>
      </c>
      <c r="L21" s="82" t="n">
        <f aca="false">SQRT((POWER(E21,2)+ POWER(H21,2))/2)</f>
        <v>0.897857599024327</v>
      </c>
      <c r="O21" s="47" t="n">
        <v>0.39</v>
      </c>
      <c r="V21" s="47" t="n">
        <v>0.49</v>
      </c>
    </row>
    <row r="22" customFormat="false" ht="14.1" hidden="false" customHeight="true" outlineLevel="0" collapsed="false">
      <c r="B22" s="0" t="str">
        <f aca="false">'Days per Episode'!B20</f>
        <v>Anderson-1974 #1 (1+4g)</v>
      </c>
      <c r="C22" s="0" t="n">
        <f aca="false">'Days per Episode'!G20</f>
        <v>3.4151376146789</v>
      </c>
      <c r="F22" s="0" t="n">
        <f aca="false">'Days per Episode'!Q20</f>
        <v>3.52173913043478</v>
      </c>
      <c r="J22" s="0" t="str">
        <f aca="false">'Days per Episode'!W20</f>
        <v>Anderson-1974 #1 (1+4g)</v>
      </c>
      <c r="O22" s="81" t="n">
        <v>0.42</v>
      </c>
      <c r="V22" s="47" t="n">
        <v>0.5</v>
      </c>
    </row>
    <row r="23" customFormat="false" ht="14.1" hidden="false" customHeight="true" outlineLevel="0" collapsed="false">
      <c r="B23" s="0" t="str">
        <f aca="false">'Days per Episode'!B21</f>
        <v>Anderson-1974a #2 (1g)</v>
      </c>
      <c r="C23" s="0" t="n">
        <f aca="false">'Days per Episode'!G21</f>
        <v>3.34782608695652</v>
      </c>
      <c r="O23" s="81" t="n">
        <v>0.43</v>
      </c>
      <c r="U23" s="5" t="s">
        <v>472</v>
      </c>
      <c r="V23" s="47" t="n">
        <v>0.5</v>
      </c>
    </row>
    <row r="24" customFormat="false" ht="14.1" hidden="false" customHeight="true" outlineLevel="0" collapsed="false">
      <c r="B24" s="0" t="str">
        <f aca="false">'Days per Episode'!B22</f>
        <v>Anderson-1974b #3 (2 g)</v>
      </c>
      <c r="C24" s="0" t="n">
        <f aca="false">'Days per Episode'!G22</f>
        <v>3.22795698924731</v>
      </c>
      <c r="O24" s="81" t="n">
        <v>0.44</v>
      </c>
      <c r="V24" s="81" t="n">
        <v>0.52</v>
      </c>
    </row>
    <row r="25" customFormat="false" ht="14.1" hidden="false" customHeight="true" outlineLevel="0" collapsed="false">
      <c r="B25" s="0" t="str">
        <f aca="false">'Days per Episode'!B23</f>
        <v>Anderson-1974c #5 (0.25g)</v>
      </c>
      <c r="C25" s="0" t="n">
        <f aca="false">'Days per Episode'!G23</f>
        <v>3.11023622047244</v>
      </c>
      <c r="O25" s="47" t="n">
        <v>0.44</v>
      </c>
      <c r="V25" s="47" t="n">
        <v>0.52</v>
      </c>
    </row>
    <row r="26" customFormat="false" ht="14.1" hidden="false" customHeight="true" outlineLevel="0" collapsed="false">
      <c r="O26" s="47" t="n">
        <v>0.44</v>
      </c>
      <c r="T26" s="20" t="s">
        <v>473</v>
      </c>
      <c r="V26" s="47" t="n">
        <v>0.52</v>
      </c>
    </row>
    <row r="27" customFormat="false" ht="14.1" hidden="false" customHeight="true" outlineLevel="0" collapsed="false">
      <c r="B27" s="0" t="str">
        <f aca="false">'Days per Episode'!B25</f>
        <v>Briggs-1984</v>
      </c>
      <c r="C27" s="0" t="n">
        <f aca="false">'Days per Episode'!G25</f>
        <v>3.12</v>
      </c>
      <c r="F27" s="0" t="n">
        <f aca="false">'Days per Episode'!Q25</f>
        <v>3.32231404958678</v>
      </c>
      <c r="J27" s="0" t="str">
        <f aca="false">'Days per Episode'!W25</f>
        <v>Briggs-1984</v>
      </c>
      <c r="O27" s="81" t="n">
        <v>0.45</v>
      </c>
      <c r="T27" s="20" t="s">
        <v>474</v>
      </c>
      <c r="V27" s="81" t="n">
        <v>0.54</v>
      </c>
    </row>
    <row r="28" customFormat="false" ht="14.1" hidden="false" customHeight="true" outlineLevel="0" collapsed="false">
      <c r="B28" s="0" t="str">
        <f aca="false">'Days per Episode'!B26</f>
        <v>Carr-1981 Together</v>
      </c>
      <c r="C28" s="0" t="n">
        <f aca="false">'Days per Episode'!G27</f>
        <v>4.86</v>
      </c>
      <c r="D28" s="1" t="s">
        <v>475</v>
      </c>
      <c r="F28" s="0" t="n">
        <f aca="false">'Days per Episode'!Q27</f>
        <v>7.5</v>
      </c>
      <c r="J28" s="0" t="str">
        <f aca="false">'Days per Episode'!W26</f>
        <v>Carr-1981 Together</v>
      </c>
      <c r="O28" s="47" t="n">
        <v>0.47</v>
      </c>
      <c r="T28" s="20" t="s">
        <v>476</v>
      </c>
      <c r="V28" s="81" t="n">
        <v>0.55</v>
      </c>
    </row>
    <row r="29" customFormat="false" ht="14.1" hidden="false" customHeight="true" outlineLevel="0" collapsed="false">
      <c r="B29" s="0" t="str">
        <f aca="false">'Days per Episode'!B27</f>
        <v>Carr-1981a Apart</v>
      </c>
      <c r="C29" s="0" t="n">
        <f aca="false">'Days per Episode'!G26</f>
        <v>5.46</v>
      </c>
      <c r="D29" s="1" t="s">
        <v>475</v>
      </c>
      <c r="F29" s="0" t="n">
        <f aca="false">'Days per Episode'!Q26</f>
        <v>5.42</v>
      </c>
      <c r="J29" s="0" t="str">
        <f aca="false">'Days per Episode'!W27</f>
        <v>Carr-1981a Apart</v>
      </c>
      <c r="O29" s="47" t="n">
        <v>0.48</v>
      </c>
      <c r="V29" s="47" t="n">
        <v>0.56</v>
      </c>
    </row>
    <row r="30" customFormat="false" ht="14.1" hidden="false" customHeight="true" outlineLevel="0" collapsed="false">
      <c r="B30" s="0" t="str">
        <f aca="false">'Days per Episode'!B28</f>
        <v>Charleston-1972</v>
      </c>
      <c r="C30" s="0" t="n">
        <f aca="false">'Days per Episode'!G28</f>
        <v>3.54545454545455</v>
      </c>
      <c r="D30" s="0" t="n">
        <f aca="false">'Days per Episode'!J28</f>
        <v>1.93444355865111</v>
      </c>
      <c r="E30" s="25" t="n">
        <f aca="false">D30/C30</f>
        <v>0.54561228577339</v>
      </c>
      <c r="F30" s="0" t="n">
        <f aca="false">'Days per Episode'!Q28</f>
        <v>4.2125</v>
      </c>
      <c r="G30" s="0" t="n">
        <f aca="false">'Days per Episode'!T28</f>
        <v>0.822065167271128</v>
      </c>
      <c r="H30" s="25" t="n">
        <f aca="false">G30/F30</f>
        <v>0.195149001132612</v>
      </c>
      <c r="J30" s="0" t="str">
        <f aca="false">'Days per Episode'!W28</f>
        <v>Charleston-1972</v>
      </c>
      <c r="L30" s="80" t="n">
        <f aca="false">SQRT((POWER(E30,2)+ POWER(H30,2))/2)</f>
        <v>0.409741320243589</v>
      </c>
      <c r="N30" s="0"/>
      <c r="O30" s="47" t="n">
        <v>0.48</v>
      </c>
      <c r="U30" s="5" t="s">
        <v>252</v>
      </c>
      <c r="V30" s="83" t="n">
        <v>0.59</v>
      </c>
    </row>
    <row r="31" customFormat="false" ht="14.1" hidden="false" customHeight="true" outlineLevel="0" collapsed="false">
      <c r="B31" s="0" t="str">
        <f aca="false">'Days per Episode'!B29</f>
        <v>Clegg-1975</v>
      </c>
      <c r="C31" s="0" t="n">
        <f aca="false">'Days per Episode'!G29</f>
        <v>7.2</v>
      </c>
      <c r="D31" s="0" t="n">
        <f aca="false">'Days per Episode'!J29</f>
        <v>3.1</v>
      </c>
      <c r="E31" s="25" t="n">
        <f aca="false">D31/C31</f>
        <v>0.430555555555556</v>
      </c>
      <c r="F31" s="0" t="n">
        <f aca="false">'Days per Episode'!Q29</f>
        <v>7.6</v>
      </c>
      <c r="G31" s="0" t="n">
        <f aca="false">'Days per Episode'!T29</f>
        <v>3</v>
      </c>
      <c r="H31" s="25" t="n">
        <f aca="false">G31/F31</f>
        <v>0.394736842105263</v>
      </c>
      <c r="J31" s="0" t="str">
        <f aca="false">'Days per Episode'!W29</f>
        <v>Clegg-1975</v>
      </c>
      <c r="L31" s="80" t="n">
        <f aca="false">SQRT((POWER(E31,2)+ POWER(H31,2))/2)</f>
        <v>0.413034660128535</v>
      </c>
      <c r="N31" s="5" t="s">
        <v>472</v>
      </c>
      <c r="O31" s="84" t="n">
        <v>0.49</v>
      </c>
      <c r="V31" s="81" t="n">
        <v>0.61</v>
      </c>
    </row>
    <row r="32" customFormat="false" ht="14.1" hidden="false" customHeight="true" outlineLevel="0" collapsed="false">
      <c r="B32" s="0" t="str">
        <f aca="false">'Days per Episode'!B30</f>
        <v>Elwood-1976</v>
      </c>
      <c r="C32" s="0" t="n">
        <f aca="false">'Days per Episode'!G30</f>
        <v>5.97</v>
      </c>
      <c r="D32" s="0" t="n">
        <f aca="false">'Days per Episode'!J30</f>
        <v>5.72712842531054</v>
      </c>
      <c r="E32" s="25" t="n">
        <f aca="false">D32/C32</f>
        <v>0.95931799418937</v>
      </c>
      <c r="F32" s="0" t="n">
        <f aca="false">'Days per Episode'!Q30</f>
        <v>6.38</v>
      </c>
      <c r="G32" s="0" t="n">
        <f aca="false">'Days per Episode'!T30</f>
        <v>6.33166644731069</v>
      </c>
      <c r="H32" s="85" t="n">
        <f aca="false">G32/F32</f>
        <v>0.992424208042428</v>
      </c>
      <c r="J32" s="0" t="str">
        <f aca="false">'Days per Episode'!W30</f>
        <v>Elwood-1976</v>
      </c>
      <c r="L32" s="82" t="n">
        <f aca="false">SQRT((POWER(E32,2)+ POWER(H32,2))/2)</f>
        <v>0.976011481152798</v>
      </c>
      <c r="N32" s="0"/>
      <c r="O32" s="47" t="n">
        <v>0.49</v>
      </c>
      <c r="V32" s="81" t="n">
        <v>0.61</v>
      </c>
    </row>
    <row r="33" customFormat="false" ht="14.1" hidden="false" customHeight="true" outlineLevel="0" collapsed="false">
      <c r="B33" s="0" t="str">
        <f aca="false">'Days per Episode'!B31</f>
        <v>Himmelstein 1998sed</v>
      </c>
      <c r="C33" s="0" t="n">
        <f aca="false">'Days per Episode'!G31</f>
        <v>2.5</v>
      </c>
      <c r="D33" s="0" t="n">
        <f aca="false">'Days per Episode'!J31</f>
        <v>1.1</v>
      </c>
      <c r="E33" s="25" t="n">
        <f aca="false">D33/C33</f>
        <v>0.44</v>
      </c>
      <c r="F33" s="0" t="n">
        <f aca="false">'Days per Episode'!Q31</f>
        <v>4.2</v>
      </c>
      <c r="G33" s="0" t="n">
        <f aca="false">'Days per Episode'!T31</f>
        <v>3.5</v>
      </c>
      <c r="H33" s="25" t="n">
        <f aca="false">G33/F33</f>
        <v>0.833333333333333</v>
      </c>
      <c r="J33" s="0" t="str">
        <f aca="false">'Days per Episode'!W31</f>
        <v>Himmelstein 1998sed</v>
      </c>
      <c r="L33" s="80" t="n">
        <f aca="false">SQRT((POWER(E33,2)+ POWER(H33,2))/2)</f>
        <v>0.666349924755922</v>
      </c>
      <c r="O33" s="81" t="n">
        <v>0.5</v>
      </c>
      <c r="V33" s="81" t="n">
        <v>0.67</v>
      </c>
    </row>
    <row r="34" customFormat="false" ht="14.1" hidden="false" customHeight="true" outlineLevel="0" collapsed="false">
      <c r="L34" s="80"/>
      <c r="O34" s="47" t="n">
        <v>0.5</v>
      </c>
      <c r="V34" s="81" t="n">
        <v>0.67</v>
      </c>
    </row>
    <row r="35" customFormat="false" ht="14.1" hidden="false" customHeight="true" outlineLevel="0" collapsed="false">
      <c r="B35" s="0" t="str">
        <f aca="false">'Days per Episode'!B33</f>
        <v>Johnston 2014</v>
      </c>
      <c r="C35" s="0" t="n">
        <f aca="false">'Days per Episode'!G33</f>
        <v>2.2</v>
      </c>
      <c r="D35" s="0" t="n">
        <f aca="false">'Days per Episode'!J33</f>
        <v>1.4</v>
      </c>
      <c r="E35" s="25" t="n">
        <f aca="false">D35/C35</f>
        <v>0.636363636363636</v>
      </c>
      <c r="F35" s="0" t="n">
        <f aca="false">'Days per Episode'!Q33</f>
        <v>5.4</v>
      </c>
      <c r="G35" s="0" t="n">
        <f aca="false">'Days per Episode'!T33</f>
        <v>4.5</v>
      </c>
      <c r="H35" s="25" t="n">
        <f aca="false">G35/F35</f>
        <v>0.833333333333333</v>
      </c>
      <c r="J35" s="0" t="str">
        <f aca="false">'Days per Episode'!W33</f>
        <v>Johnston 2014</v>
      </c>
      <c r="L35" s="80" t="n">
        <f aca="false">SQRT((POWER(E35,2)+ POWER(H35,2))/2)</f>
        <v>0.741418613918748</v>
      </c>
      <c r="O35" s="47" t="n">
        <v>0.5</v>
      </c>
      <c r="V35" s="81" t="n">
        <v>0.74</v>
      </c>
    </row>
    <row r="36" customFormat="false" ht="14.1" hidden="false" customHeight="true" outlineLevel="0" collapsed="false">
      <c r="B36" s="0" t="str">
        <f aca="false">'Days per Episode'!B34</f>
        <v>Karlowski 1975a (#2)</v>
      </c>
      <c r="C36" s="0" t="n">
        <f aca="false">'Days per Episode'!G34</f>
        <v>6.71</v>
      </c>
      <c r="D36" s="0" t="n">
        <f aca="false">'Days per Episode'!J34</f>
        <v>3.82188435199183</v>
      </c>
      <c r="E36" s="25" t="n">
        <f aca="false">D36/C36</f>
        <v>0.569580380326651</v>
      </c>
      <c r="F36" s="0" t="n">
        <f aca="false">'Days per Episode'!Q34</f>
        <v>7.14</v>
      </c>
      <c r="G36" s="0" t="n">
        <f aca="false">'Days per Episode'!T34</f>
        <v>3.70863856421733</v>
      </c>
      <c r="H36" s="25" t="n">
        <f aca="false">G36/F36</f>
        <v>0.519417165856769</v>
      </c>
      <c r="J36" s="0" t="str">
        <f aca="false">'Days per Episode'!W34</f>
        <v>Karlowski 1975a (#2)</v>
      </c>
      <c r="L36" s="80" t="n">
        <f aca="false">SQRT((POWER(E36,2)+ POWER(H36,2))/2)</f>
        <v>0.545076142313957</v>
      </c>
      <c r="O36" s="47" t="n">
        <v>0.51</v>
      </c>
      <c r="V36" s="81" t="n">
        <v>0.74</v>
      </c>
    </row>
    <row r="37" customFormat="false" ht="14.1" hidden="false" customHeight="true" outlineLevel="0" collapsed="false">
      <c r="B37" s="0" t="str">
        <f aca="false">'Days per Episode'!B35</f>
        <v>Karlowski 1975d (#3 vs #1)</v>
      </c>
      <c r="C37" s="0" t="n">
        <f aca="false">'Days per Episode'!G35</f>
        <v>5.92</v>
      </c>
      <c r="D37" s="0" t="n">
        <f aca="false">'Days per Episode'!J35</f>
        <v>3.48711915483254</v>
      </c>
      <c r="E37" s="25" t="n">
        <f aca="false">D37/C37</f>
        <v>0.589040397775767</v>
      </c>
      <c r="F37" s="0" t="n">
        <f aca="false">'Days per Episode'!Q35</f>
        <v>6.46</v>
      </c>
      <c r="G37" s="0" t="n">
        <f aca="false">'Days per Episode'!T35</f>
        <v>2.91849276168367</v>
      </c>
      <c r="H37" s="25" t="n">
        <f aca="false">G37/F37</f>
        <v>0.451779065276111</v>
      </c>
      <c r="J37" s="0" t="str">
        <f aca="false">'Days per Episode'!W35</f>
        <v>Karlowski 1975d (#3 vs #1)</v>
      </c>
      <c r="L37" s="80" t="n">
        <f aca="false">SQRT((POWER(E37,2)+ POWER(H37,2))/2)</f>
        <v>0.524915666575875</v>
      </c>
      <c r="O37" s="81" t="n">
        <v>0.51</v>
      </c>
      <c r="V37" s="47" t="n">
        <v>0.74</v>
      </c>
    </row>
    <row r="38" customFormat="false" ht="14.1" hidden="false" customHeight="true" outlineLevel="0" collapsed="false">
      <c r="B38" s="0" t="str">
        <f aca="false">'Days per Episode'!B36</f>
        <v>Pitt-1979</v>
      </c>
      <c r="C38" s="0" t="n">
        <f aca="false">'Days per Episode'!G36</f>
        <v>11.2</v>
      </c>
      <c r="F38" s="0" t="n">
        <f aca="false">'Days per Episode'!Q36</f>
        <v>11.5</v>
      </c>
      <c r="J38" s="0" t="str">
        <f aca="false">'Days per Episode'!W36</f>
        <v>Pitt-1979</v>
      </c>
      <c r="L38" s="80"/>
      <c r="O38" s="47" t="n">
        <v>0.52</v>
      </c>
      <c r="U38" s="5" t="s">
        <v>477</v>
      </c>
      <c r="V38" s="86" t="n">
        <v>0.8</v>
      </c>
    </row>
    <row r="39" customFormat="false" ht="14.1" hidden="false" customHeight="true" outlineLevel="0" collapsed="false">
      <c r="B39" s="4" t="str">
        <f aca="false">'Days per Episode'!B37</f>
        <v>Van Straten-2002</v>
      </c>
      <c r="C39" s="0" t="n">
        <f aca="false">'Days per Episode'!G37</f>
        <v>1.8</v>
      </c>
      <c r="D39" s="0" t="n">
        <f aca="false">'Days per Episode'!J37</f>
        <v>2.98</v>
      </c>
      <c r="E39" s="85" t="n">
        <f aca="false">D39/C39</f>
        <v>1.65555555555556</v>
      </c>
      <c r="F39" s="0" t="n">
        <f aca="false">'Days per Episode'!Q37</f>
        <v>3.1</v>
      </c>
      <c r="G39" s="0" t="n">
        <f aca="false">'Days per Episode'!T37</f>
        <v>4.65</v>
      </c>
      <c r="H39" s="85" t="n">
        <f aca="false">G39/F39</f>
        <v>1.5</v>
      </c>
      <c r="J39" s="0" t="str">
        <f aca="false">'Days per Episode'!W37</f>
        <v>Van Straten-2002</v>
      </c>
      <c r="L39" s="82" t="n">
        <f aca="false">SQRT((POWER(E39,2)+ POWER(H39,2))/2)</f>
        <v>1.57969367244584</v>
      </c>
      <c r="O39" s="81" t="n">
        <v>0.52</v>
      </c>
      <c r="Q39" s="20" t="s">
        <v>473</v>
      </c>
      <c r="R39" s="48"/>
      <c r="V39" s="81" t="n">
        <v>0.9</v>
      </c>
      <c r="W39" s="2" t="s">
        <v>206</v>
      </c>
    </row>
    <row r="40" customFormat="false" ht="14.1" hidden="false" customHeight="true" outlineLevel="0" collapsed="false">
      <c r="L40" s="80"/>
      <c r="O40" s="47" t="n">
        <v>0.52</v>
      </c>
      <c r="Q40" s="20" t="s">
        <v>474</v>
      </c>
      <c r="R40" s="48"/>
      <c r="V40" s="81" t="n">
        <v>0.9047</v>
      </c>
      <c r="W40" s="0" t="s">
        <v>313</v>
      </c>
    </row>
    <row r="41" customFormat="false" ht="14.1" hidden="false" customHeight="true" outlineLevel="0" collapsed="false">
      <c r="B41" s="0" t="str">
        <f aca="false">'Days per Episode'!B39</f>
        <v>Peters-1993 Runners</v>
      </c>
      <c r="C41" s="0" t="n">
        <f aca="false">'Days per Episode'!G39</f>
        <v>6</v>
      </c>
      <c r="D41" s="0" t="n">
        <f aca="false">'Days per Episode'!J39</f>
        <v>0.99</v>
      </c>
      <c r="E41" s="25" t="n">
        <f aca="false">D41/C41</f>
        <v>0.165</v>
      </c>
      <c r="F41" s="0" t="n">
        <f aca="false">'Days per Episode'!Q39</f>
        <v>5.8</v>
      </c>
      <c r="G41" s="0" t="n">
        <f aca="false">'Days per Episode'!T39</f>
        <v>2.46</v>
      </c>
      <c r="H41" s="25" t="n">
        <f aca="false">G41/F41</f>
        <v>0.424137931034483</v>
      </c>
      <c r="J41" s="0" t="str">
        <f aca="false">'Days per Episode'!W39</f>
        <v>Peters-1993 Runners</v>
      </c>
      <c r="L41" s="80" t="n">
        <f aca="false">SQRT((POWER(E41,2)+ POWER(H41,2))/2)</f>
        <v>0.321805830076315</v>
      </c>
      <c r="O41" s="47" t="n">
        <v>0.53</v>
      </c>
      <c r="Q41" s="20" t="s">
        <v>478</v>
      </c>
      <c r="R41" s="48"/>
      <c r="U41" s="5"/>
      <c r="V41" s="81" t="n">
        <v>0.98</v>
      </c>
      <c r="W41" s="0" t="s">
        <v>240</v>
      </c>
    </row>
    <row r="42" customFormat="false" ht="14.1" hidden="false" customHeight="true" outlineLevel="0" collapsed="false">
      <c r="B42" s="0" t="str">
        <f aca="false">'Days per Episode'!B40</f>
        <v>Peters 1993a Sedentary</v>
      </c>
      <c r="C42" s="0" t="n">
        <f aca="false">'Days per Episode'!G40</f>
        <v>4.2</v>
      </c>
      <c r="D42" s="0" t="n">
        <f aca="false">'Days per Episode'!J40</f>
        <v>2.14</v>
      </c>
      <c r="E42" s="25" t="n">
        <f aca="false">D42/C42</f>
        <v>0.50952380952381</v>
      </c>
      <c r="F42" s="0" t="n">
        <f aca="false">'Days per Episode'!Q40</f>
        <v>5.6</v>
      </c>
      <c r="G42" s="0" t="n">
        <f aca="false">'Days per Episode'!T40</f>
        <v>3.18</v>
      </c>
      <c r="H42" s="25" t="n">
        <f aca="false">G42/F42</f>
        <v>0.567857142857143</v>
      </c>
      <c r="J42" s="0" t="str">
        <f aca="false">'Days per Episode'!W40</f>
        <v>Peters 1993a Sedentary</v>
      </c>
      <c r="L42" s="80" t="n">
        <f aca="false">SQRT((POWER(E42,2)+ POWER(H42,2))/2)</f>
        <v>0.539479493199479</v>
      </c>
      <c r="O42" s="81" t="n">
        <v>0.54</v>
      </c>
      <c r="V42" s="81" t="n">
        <v>1.03</v>
      </c>
      <c r="W42" s="0" t="s">
        <v>317</v>
      </c>
    </row>
    <row r="43" customFormat="false" ht="14.1" hidden="false" customHeight="true" outlineLevel="0" collapsed="false">
      <c r="B43" s="0" t="str">
        <f aca="false">'Days per Episode'!B41</f>
        <v>Peters 1996 Runners</v>
      </c>
      <c r="C43" s="0" t="n">
        <f aca="false">'Days per Episode'!G41</f>
        <v>5.8</v>
      </c>
      <c r="F43" s="0" t="n">
        <f aca="false">'Days per Episode'!Q41</f>
        <v>6.8</v>
      </c>
      <c r="J43" s="0" t="str">
        <f aca="false">'Days per Episode'!W41</f>
        <v>Peters 1996 Runners</v>
      </c>
      <c r="L43" s="80"/>
      <c r="O43" s="47" t="n">
        <v>0.55</v>
      </c>
      <c r="V43" s="47" t="n">
        <v>1.07</v>
      </c>
      <c r="W43" s="87" t="s">
        <v>479</v>
      </c>
    </row>
    <row r="44" customFormat="false" ht="14.1" hidden="false" customHeight="true" outlineLevel="0" collapsed="false">
      <c r="B44" s="0" t="str">
        <f aca="false">'Days per Episode'!B42</f>
        <v>Peters-1996a Sedentary</v>
      </c>
      <c r="C44" s="0" t="n">
        <f aca="false">'Days per Episode'!G42</f>
        <v>9.4</v>
      </c>
      <c r="F44" s="0" t="n">
        <f aca="false">'Days per Episode'!Q42</f>
        <v>6.9</v>
      </c>
      <c r="J44" s="0" t="str">
        <f aca="false">'Days per Episode'!W42</f>
        <v>Peters-1996a Sedentary</v>
      </c>
      <c r="L44" s="80"/>
      <c r="O44" s="47" t="n">
        <v>0.55</v>
      </c>
      <c r="U44" s="86" t="s">
        <v>480</v>
      </c>
      <c r="V44" s="81" t="n">
        <v>1.37</v>
      </c>
      <c r="W44" s="87" t="s">
        <v>481</v>
      </c>
    </row>
    <row r="45" customFormat="false" ht="14.1" hidden="false" customHeight="true" outlineLevel="0" collapsed="false">
      <c r="B45" s="0" t="str">
        <f aca="false">'Days per Episode'!B43</f>
        <v>Sabiston-1974</v>
      </c>
      <c r="C45" s="0" t="n">
        <f aca="false">'Days per Episode'!G43</f>
        <v>4.3</v>
      </c>
      <c r="D45" s="0" t="n">
        <f aca="false">'Days per Episode'!J43</f>
        <v>3</v>
      </c>
      <c r="E45" s="25" t="n">
        <f aca="false">D45/C45</f>
        <v>0.697674418604651</v>
      </c>
      <c r="F45" s="0" t="n">
        <f aca="false">'Days per Episode'!Q43</f>
        <v>6</v>
      </c>
      <c r="G45" s="0" t="n">
        <f aca="false">'Days per Episode'!T43</f>
        <v>3</v>
      </c>
      <c r="H45" s="25" t="n">
        <f aca="false">G45/F45</f>
        <v>0.5</v>
      </c>
      <c r="J45" s="0" t="str">
        <f aca="false">'Days per Episode'!W43</f>
        <v>Sabiston-1974</v>
      </c>
      <c r="L45" s="80" t="n">
        <f aca="false">SQRT((POWER(E45,2)+ POWER(H45,2))/2)</f>
        <v>0.606938874342111</v>
      </c>
      <c r="O45" s="81" t="n">
        <v>0.56</v>
      </c>
      <c r="U45" s="86" t="s">
        <v>482</v>
      </c>
      <c r="V45" s="81" t="n">
        <v>1.58</v>
      </c>
      <c r="W45" s="87" t="s">
        <v>483</v>
      </c>
    </row>
    <row r="46" customFormat="false" ht="14.1" hidden="false" customHeight="true" outlineLevel="0" collapsed="false">
      <c r="L46" s="80"/>
      <c r="N46" s="0"/>
      <c r="O46" s="47" t="n">
        <v>0.57</v>
      </c>
      <c r="U46" s="86" t="s">
        <v>484</v>
      </c>
      <c r="V46" s="81" t="n">
        <v>1.62</v>
      </c>
      <c r="W46" s="87" t="s">
        <v>481</v>
      </c>
    </row>
    <row r="47" customFormat="false" ht="14.1" hidden="false" customHeight="true" outlineLevel="0" collapsed="false">
      <c r="B47" s="0" t="str">
        <f aca="false">'Days per Episode'!B53</f>
        <v>Bancalari 1984</v>
      </c>
      <c r="C47" s="0" t="n">
        <f aca="false">'Days per Episode'!G53</f>
        <v>3.4</v>
      </c>
      <c r="D47" s="0" t="n">
        <f aca="false">'Days per Episode'!J53</f>
        <v>2.77398630133604</v>
      </c>
      <c r="E47" s="25" t="n">
        <f aca="false">D47/C47</f>
        <v>0.815878323922365</v>
      </c>
      <c r="F47" s="0" t="n">
        <f aca="false">'Days per Episode'!Q53</f>
        <v>4.5</v>
      </c>
      <c r="G47" s="0" t="n">
        <f aca="false">'Days per Episode'!T53</f>
        <v>2.91640189274387</v>
      </c>
      <c r="H47" s="25" t="n">
        <f aca="false">G47/F47</f>
        <v>0.648089309498637</v>
      </c>
      <c r="J47" s="0" t="str">
        <f aca="false">'Days per Episode'!W53</f>
        <v>Bancalari 1984</v>
      </c>
      <c r="L47" s="80" t="n">
        <f aca="false">SQRT((POWER(E47,2)+ POWER(H47,2))/2)</f>
        <v>0.736775811401537</v>
      </c>
      <c r="N47" s="5" t="s">
        <v>252</v>
      </c>
      <c r="O47" s="84" t="n">
        <v>0.57</v>
      </c>
      <c r="V47" s="81"/>
    </row>
    <row r="48" customFormat="false" ht="14.1" hidden="false" customHeight="true" outlineLevel="0" collapsed="false">
      <c r="B48" s="0" t="str">
        <f aca="false">'Days per Episode'!B54</f>
        <v>Constantini 2011 Male</v>
      </c>
      <c r="C48" s="0" t="n">
        <f aca="false">'Days per Episode'!G54</f>
        <v>5.5</v>
      </c>
      <c r="D48" s="0" t="n">
        <f aca="false">'Days per Episode'!J54</f>
        <v>5</v>
      </c>
      <c r="E48" s="25" t="n">
        <f aca="false">D48/C48</f>
        <v>0.909090909090909</v>
      </c>
      <c r="F48" s="0" t="n">
        <f aca="false">'Days per Episode'!Q54</f>
        <v>10.4</v>
      </c>
      <c r="G48" s="0" t="n">
        <f aca="false">'Days per Episode'!T54</f>
        <v>7.1</v>
      </c>
      <c r="H48" s="25" t="n">
        <f aca="false">G48/F48</f>
        <v>0.682692307692308</v>
      </c>
      <c r="J48" s="0" t="str">
        <f aca="false">'Days per Episode'!W54</f>
        <v>Constantini 2011 Male</v>
      </c>
      <c r="L48" s="80" t="n">
        <f aca="false">SQRT((POWER(E48,2)+ POWER(H48,2))/2)</f>
        <v>0.803901445444025</v>
      </c>
      <c r="O48" s="47" t="n">
        <v>0.58</v>
      </c>
      <c r="V48" s="81"/>
    </row>
    <row r="49" customFormat="false" ht="14.1" hidden="false" customHeight="true" outlineLevel="0" collapsed="false">
      <c r="B49" s="0" t="str">
        <f aca="false">'Days per Episode'!B55</f>
        <v>Constantini 2011a Female</v>
      </c>
      <c r="C49" s="0" t="n">
        <f aca="false">'Days per Episode'!G55</f>
        <v>8.6</v>
      </c>
      <c r="D49" s="0" t="n">
        <f aca="false">'Days per Episode'!J55</f>
        <v>5.5</v>
      </c>
      <c r="E49" s="25" t="n">
        <f aca="false">D49/C49</f>
        <v>0.63953488372093</v>
      </c>
      <c r="F49" s="0" t="n">
        <f aca="false">'Days per Episode'!Q55</f>
        <v>7.4</v>
      </c>
      <c r="G49" s="0" t="n">
        <f aca="false">'Days per Episode'!T55</f>
        <v>8.2</v>
      </c>
      <c r="H49" s="85" t="n">
        <f aca="false">G49/F49</f>
        <v>1.10810810810811</v>
      </c>
      <c r="J49" s="0" t="str">
        <f aca="false">'Days per Episode'!W55</f>
        <v>Constantini 2011a Female</v>
      </c>
      <c r="L49" s="88" t="n">
        <f aca="false">SQRT((POWER(E49,2)+ POWER(H49,2))/2)</f>
        <v>0.904684598838422</v>
      </c>
      <c r="N49" s="0"/>
      <c r="O49" s="47" t="n">
        <v>0.58</v>
      </c>
      <c r="T49" s="80"/>
      <c r="V49" s="81"/>
    </row>
    <row r="50" customFormat="false" ht="14.1" hidden="false" customHeight="true" outlineLevel="0" collapsed="false">
      <c r="B50" s="0" t="str">
        <f aca="false">'Days per Episode'!B56</f>
        <v>Coulehan-1974 LOW</v>
      </c>
      <c r="C50" s="0" t="n">
        <f aca="false">'Days per Episode'!G56</f>
        <v>4.95</v>
      </c>
      <c r="F50" s="0" t="n">
        <f aca="false">'Days per Episode'!Q56</f>
        <v>5.65</v>
      </c>
      <c r="J50" s="0" t="str">
        <f aca="false">'Days per Episode'!W56</f>
        <v>Coulehan-1974 LOW</v>
      </c>
      <c r="L50" s="80"/>
      <c r="O50" s="47" t="n">
        <v>0.59</v>
      </c>
      <c r="V50" s="81"/>
    </row>
    <row r="51" customFormat="false" ht="14.1" hidden="false" customHeight="true" outlineLevel="0" collapsed="false">
      <c r="B51" s="0" t="str">
        <f aca="false">'Days per Episode'!B57</f>
        <v>Coulehan-1974a UP</v>
      </c>
      <c r="C51" s="0" t="n">
        <f aca="false">'Days per Episode'!G57</f>
        <v>4.44</v>
      </c>
      <c r="F51" s="0" t="n">
        <f aca="false">'Days per Episode'!Q57</f>
        <v>6.29</v>
      </c>
      <c r="J51" s="0" t="str">
        <f aca="false">'Days per Episode'!W57</f>
        <v>Coulehan-1974a UP</v>
      </c>
      <c r="L51" s="80"/>
      <c r="O51" s="47" t="n">
        <v>0.59</v>
      </c>
      <c r="U51" s="5" t="s">
        <v>485</v>
      </c>
      <c r="V51" s="89" t="n">
        <f aca="false">COUNT(V15:V46)</f>
        <v>32</v>
      </c>
    </row>
    <row r="52" customFormat="false" ht="14.1" hidden="false" customHeight="true" outlineLevel="0" collapsed="false">
      <c r="B52" s="0" t="str">
        <f aca="false">'Days per Episode'!B58</f>
        <v>Coulehan-1976</v>
      </c>
      <c r="C52" s="0" t="n">
        <f aca="false">'Days per Episode'!G58</f>
        <v>5.5</v>
      </c>
      <c r="F52" s="0" t="n">
        <f aca="false">'Days per Episode'!Q58</f>
        <v>5.8</v>
      </c>
      <c r="J52" s="0" t="str">
        <f aca="false">'Days per Episode'!W58</f>
        <v>Coulehan-1976</v>
      </c>
      <c r="L52" s="80"/>
      <c r="O52" s="47" t="n">
        <v>0.64</v>
      </c>
      <c r="V52" s="81"/>
    </row>
    <row r="53" customFormat="false" ht="14.1" hidden="false" customHeight="true" outlineLevel="0" collapsed="false">
      <c r="B53" s="0" t="str">
        <f aca="false">'Days per Episode'!B59</f>
        <v>Ludvigsson-1977 Pilot</v>
      </c>
      <c r="C53" s="0" t="n">
        <f aca="false">'Days per Episode'!G59</f>
        <v>8.9</v>
      </c>
      <c r="D53" s="0" t="n">
        <f aca="false">'Days per Episode'!J59</f>
        <v>5.96</v>
      </c>
      <c r="E53" s="25" t="n">
        <f aca="false">D53/C53</f>
        <v>0.669662921348315</v>
      </c>
      <c r="F53" s="0" t="n">
        <f aca="false">'Days per Episode'!Q59</f>
        <v>14.53</v>
      </c>
      <c r="G53" s="0" t="n">
        <f aca="false">'Days per Episode'!T59</f>
        <v>9.75</v>
      </c>
      <c r="H53" s="25" t="n">
        <f aca="false">G53/F53</f>
        <v>0.671025464556091</v>
      </c>
      <c r="J53" s="0" t="str">
        <f aca="false">'Days per Episode'!W59</f>
        <v>Ludvigsson-1977 Pilot</v>
      </c>
      <c r="L53" s="80" t="n">
        <f aca="false">SQRT((POWER(E53,2)+ POWER(H53,2))/2)</f>
        <v>0.670344539140686</v>
      </c>
      <c r="O53" s="47" t="n">
        <v>0.64</v>
      </c>
      <c r="V53" s="81"/>
    </row>
    <row r="54" customFormat="false" ht="14.1" hidden="false" customHeight="true" outlineLevel="0" collapsed="false">
      <c r="B54" s="0" t="str">
        <f aca="false">'Days per Episode'!B60</f>
        <v>Ludvigsson-1977a Large</v>
      </c>
      <c r="C54" s="0" t="n">
        <f aca="false">'Days per Episode'!G60</f>
        <v>9.54</v>
      </c>
      <c r="D54" s="0" t="n">
        <f aca="false">'Days per Episode'!J60</f>
        <v>8.65</v>
      </c>
      <c r="E54" s="25" t="n">
        <f aca="false">D54/C54</f>
        <v>0.906708595387841</v>
      </c>
      <c r="F54" s="0" t="n">
        <f aca="false">'Days per Episode'!Q60</f>
        <v>10.14</v>
      </c>
      <c r="G54" s="0" t="n">
        <f aca="false">'Days per Episode'!T60</f>
        <v>11.6</v>
      </c>
      <c r="H54" s="85" t="n">
        <f aca="false">G54/F54</f>
        <v>1.1439842209073</v>
      </c>
      <c r="J54" s="0" t="str">
        <f aca="false">'Days per Episode'!W60</f>
        <v>Ludvigsson-1977a Large</v>
      </c>
      <c r="L54" s="82" t="n">
        <f aca="false">SQRT((POWER(E54,2)+ POWER(H54,2))/2)</f>
        <v>1.03218708929997</v>
      </c>
      <c r="O54" s="47" t="n">
        <v>0.64</v>
      </c>
      <c r="V54" s="81"/>
    </row>
    <row r="55" customFormat="false" ht="14.1" hidden="false" customHeight="true" outlineLevel="0" collapsed="false">
      <c r="L55" s="80"/>
      <c r="O55" s="47" t="n">
        <v>0.65</v>
      </c>
      <c r="V55" s="81"/>
    </row>
    <row r="56" customFormat="false" ht="14.1" hidden="false" customHeight="true" outlineLevel="0" collapsed="false">
      <c r="B56" s="0" t="str">
        <f aca="false">'Days per Episode'!B62</f>
        <v>Miller-1977_1000mg</v>
      </c>
      <c r="C56" s="0" t="n">
        <f aca="false">'Days per Episode'!G62</f>
        <v>7.7</v>
      </c>
      <c r="D56" s="1" t="s">
        <v>475</v>
      </c>
      <c r="E56" s="90"/>
      <c r="F56" s="0" t="n">
        <f aca="false">'Days per Episode'!Q62</f>
        <v>8.3</v>
      </c>
      <c r="H56" s="90"/>
      <c r="J56" s="0" t="str">
        <f aca="false">'Days per Episode'!W62</f>
        <v>Miller-1977_1000mg</v>
      </c>
      <c r="L56" s="80"/>
      <c r="O56" s="47" t="n">
        <v>0.67</v>
      </c>
      <c r="V56" s="81"/>
    </row>
    <row r="57" customFormat="false" ht="14.1" hidden="false" customHeight="true" outlineLevel="0" collapsed="false">
      <c r="B57" s="0" t="str">
        <f aca="false">'Days per Episode'!B63</f>
        <v>Miller-1977a_750mg</v>
      </c>
      <c r="C57" s="0" t="n">
        <f aca="false">'Days per Episode'!G63</f>
        <v>8.7</v>
      </c>
      <c r="D57" s="1" t="s">
        <v>475</v>
      </c>
      <c r="F57" s="0" t="n">
        <f aca="false">'Days per Episode'!Q63</f>
        <v>9</v>
      </c>
      <c r="J57" s="0" t="str">
        <f aca="false">'Days per Episode'!W63</f>
        <v>Miller-1977a_750mg</v>
      </c>
      <c r="L57" s="80"/>
      <c r="O57" s="47" t="n">
        <v>0.67</v>
      </c>
      <c r="V57" s="81"/>
    </row>
    <row r="58" customFormat="false" ht="14.1" hidden="false" customHeight="true" outlineLevel="0" collapsed="false">
      <c r="B58" s="0" t="str">
        <f aca="false">'Days per Episode'!B64</f>
        <v>Miller-1977b_500mg</v>
      </c>
      <c r="C58" s="0" t="n">
        <f aca="false">'Days per Episode'!G64</f>
        <v>5.5</v>
      </c>
      <c r="D58" s="1" t="s">
        <v>475</v>
      </c>
      <c r="F58" s="0" t="n">
        <f aca="false">'Days per Episode'!Q64</f>
        <v>6.3</v>
      </c>
      <c r="J58" s="0" t="str">
        <f aca="false">'Days per Episode'!W64</f>
        <v>Miller-1977b_500mg</v>
      </c>
      <c r="L58" s="80"/>
      <c r="O58" s="81" t="n">
        <v>0.68</v>
      </c>
      <c r="T58" s="80"/>
      <c r="V58" s="81"/>
    </row>
    <row r="59" customFormat="false" ht="14.1" hidden="false" customHeight="true" outlineLevel="0" collapsed="false">
      <c r="L59" s="80"/>
      <c r="O59" s="81" t="n">
        <v>0.69</v>
      </c>
      <c r="R59" s="43"/>
      <c r="S59" s="43"/>
      <c r="T59" s="80"/>
      <c r="V59" s="81"/>
    </row>
    <row r="60" customFormat="false" ht="14.1" hidden="false" customHeight="true" outlineLevel="0" collapsed="false">
      <c r="B60" s="0" t="str">
        <f aca="false">'Days per Episode'!B66</f>
        <v>Ritzel-1961</v>
      </c>
      <c r="C60" s="0" t="n">
        <f aca="false">'Days per Episode'!G66</f>
        <v>1.8</v>
      </c>
      <c r="D60" s="91" t="n">
        <f aca="false">'Days per Episode'!J66</f>
        <v>1.28627544669819</v>
      </c>
      <c r="E60" s="25" t="n">
        <f aca="false">D60/C60</f>
        <v>0.714597470387886</v>
      </c>
      <c r="F60" s="0" t="n">
        <f aca="false">'Days per Episode'!Q66</f>
        <v>2.6</v>
      </c>
      <c r="G60" s="91" t="n">
        <f aca="false">'Days per Episode'!T66</f>
        <v>1.28627544669819</v>
      </c>
      <c r="H60" s="25" t="n">
        <f aca="false">G60/F60</f>
        <v>0.494721325653152</v>
      </c>
      <c r="J60" s="0" t="str">
        <f aca="false">'Days per Episode'!W66</f>
        <v>Ritzel-1961</v>
      </c>
      <c r="L60" s="80" t="n">
        <f aca="false">SQRT((POWER(E60,2)+ POWER(H60,2))/2)</f>
        <v>0.61457250782181</v>
      </c>
      <c r="N60" s="0"/>
      <c r="O60" s="81" t="n">
        <v>0.7</v>
      </c>
      <c r="R60" s="3"/>
      <c r="S60" s="3"/>
      <c r="T60" s="80"/>
      <c r="V60" s="81"/>
    </row>
    <row r="61" customFormat="false" ht="14.1" hidden="false" customHeight="true" outlineLevel="0" collapsed="false">
      <c r="B61" s="4" t="str">
        <f aca="false">'Days per Episode'!B67</f>
        <v>Wilson_1973 Girls</v>
      </c>
      <c r="C61" s="0" t="n">
        <f aca="false">'Days per Episode'!G67</f>
        <v>2.62</v>
      </c>
      <c r="D61" s="0" t="n">
        <f aca="false">'Days per Episode'!J67</f>
        <v>3.67167945223981</v>
      </c>
      <c r="E61" s="85" t="n">
        <f aca="false">D61/C61</f>
        <v>1.4014043710839</v>
      </c>
      <c r="F61" s="0" t="n">
        <f aca="false">'Days per Episode'!Q67</f>
        <v>3.1</v>
      </c>
      <c r="G61" s="0" t="n">
        <f aca="false">'Days per Episode'!T67</f>
        <v>4.15093170264219</v>
      </c>
      <c r="H61" s="85" t="n">
        <f aca="false">G61/F61</f>
        <v>1.33901022665877</v>
      </c>
      <c r="J61" s="0" t="str">
        <f aca="false">'Days per Episode'!W67</f>
        <v>Wilson_1973 Girls</v>
      </c>
      <c r="L61" s="82" t="n">
        <f aca="false">SQRT((POWER(E61,2)+ POWER(H61,2))/2)</f>
        <v>1.37056240251763</v>
      </c>
      <c r="O61" s="47" t="n">
        <v>0.72</v>
      </c>
      <c r="R61" s="43"/>
      <c r="S61" s="43"/>
      <c r="T61" s="31"/>
      <c r="V61" s="81"/>
    </row>
    <row r="62" customFormat="false" ht="14.1" hidden="false" customHeight="true" outlineLevel="0" collapsed="false">
      <c r="B62" s="4" t="str">
        <f aca="false">'Days per Episode'!B68</f>
        <v>Wilson_1973a Boys</v>
      </c>
      <c r="C62" s="0" t="n">
        <f aca="false">'Days per Episode'!G68</f>
        <v>2.68</v>
      </c>
      <c r="D62" s="0" t="n">
        <f aca="false">'Days per Episode'!J68</f>
        <v>5.01172624950725</v>
      </c>
      <c r="E62" s="85" t="n">
        <f aca="false">D62/C62</f>
        <v>1.87004710802509</v>
      </c>
      <c r="F62" s="0" t="n">
        <f aca="false">'Days per Episode'!Q68</f>
        <v>2.48</v>
      </c>
      <c r="G62" s="0" t="n">
        <f aca="false">'Days per Episode'!T68</f>
        <v>3.28616006913845</v>
      </c>
      <c r="H62" s="85" t="n">
        <f aca="false">G62/F62</f>
        <v>1.32506454400744</v>
      </c>
      <c r="J62" s="0" t="str">
        <f aca="false">'Days per Episode'!W68</f>
        <v>Wilson_1973a Boys</v>
      </c>
      <c r="L62" s="82" t="n">
        <f aca="false">SQRT((POWER(E62,2)+ POWER(H62,2))/2)</f>
        <v>1.6206283090238</v>
      </c>
      <c r="O62" s="47" t="n">
        <v>0.79</v>
      </c>
      <c r="R62" s="43"/>
      <c r="S62" s="43"/>
      <c r="T62" s="31"/>
      <c r="V62" s="81"/>
    </row>
    <row r="63" customFormat="false" ht="14.1" hidden="false" customHeight="true" outlineLevel="0" collapsed="false">
      <c r="L63" s="80"/>
      <c r="N63" s="0"/>
      <c r="O63" s="47" t="n">
        <v>0.81</v>
      </c>
      <c r="R63" s="43"/>
      <c r="S63" s="43"/>
      <c r="T63" s="31"/>
      <c r="V63" s="81"/>
    </row>
    <row r="64" customFormat="false" ht="14.1" hidden="false" customHeight="true" outlineLevel="0" collapsed="false">
      <c r="B64" s="5" t="s">
        <v>486</v>
      </c>
      <c r="L64" s="80"/>
      <c r="N64" s="5" t="s">
        <v>477</v>
      </c>
      <c r="O64" s="86" t="n">
        <v>0.82</v>
      </c>
      <c r="P64" s="5"/>
      <c r="R64" s="43"/>
      <c r="S64" s="43"/>
      <c r="T64" s="31"/>
      <c r="V64" s="81"/>
    </row>
    <row r="65" customFormat="false" ht="14.1" hidden="false" customHeight="true" outlineLevel="0" collapsed="false">
      <c r="B65" s="0" t="str">
        <f aca="false">'Days per Episode'!B82</f>
        <v>Anderson 1975 tablet</v>
      </c>
      <c r="C65" s="72"/>
      <c r="F65" s="72"/>
      <c r="L65" s="80"/>
      <c r="N65" s="0"/>
      <c r="O65" s="47" t="n">
        <v>0.82</v>
      </c>
      <c r="R65" s="43"/>
      <c r="S65" s="43"/>
      <c r="T65" s="31"/>
      <c r="V65" s="81"/>
    </row>
    <row r="66" customFormat="false" ht="14.1" hidden="false" customHeight="true" outlineLevel="0" collapsed="false">
      <c r="B66" s="0" t="str">
        <f aca="false">'Days per Episode'!B83</f>
        <v>Anderson 1975b capsule</v>
      </c>
      <c r="C66" s="72"/>
      <c r="L66" s="80"/>
      <c r="N66" s="0"/>
      <c r="O66" s="47" t="n">
        <v>0.83</v>
      </c>
      <c r="P66" s="5"/>
      <c r="R66" s="43"/>
      <c r="S66" s="43"/>
      <c r="T66" s="3"/>
      <c r="V66" s="81"/>
    </row>
    <row r="67" customFormat="false" ht="14.1" hidden="false" customHeight="true" outlineLevel="0" collapsed="false">
      <c r="L67" s="80"/>
      <c r="O67" s="47" t="n">
        <v>0.83</v>
      </c>
      <c r="R67" s="43"/>
      <c r="S67" s="43"/>
      <c r="T67" s="31"/>
      <c r="V67" s="81"/>
    </row>
    <row r="68" customFormat="false" ht="14.1" hidden="false" customHeight="true" outlineLevel="0" collapsed="false">
      <c r="B68" s="0" t="str">
        <f aca="false">'Days per Episode'!B79</f>
        <v>Anderson-1974d #7 (4g)</v>
      </c>
      <c r="C68" s="0" t="n">
        <f aca="false">'Days per Episode'!G79</f>
        <v>3.17745803357314</v>
      </c>
      <c r="F68" s="0" t="n">
        <f aca="false">'Days per Episode'!Q79</f>
        <v>3.52173913043478</v>
      </c>
      <c r="J68" s="0" t="str">
        <f aca="false">'Days per Episode'!W79</f>
        <v>Anderson-1974d #7 (4g)</v>
      </c>
      <c r="L68" s="80"/>
      <c r="N68" s="5" t="s">
        <v>487</v>
      </c>
      <c r="O68" s="86" t="n">
        <v>0.91</v>
      </c>
      <c r="P68" s="5"/>
      <c r="R68" s="43"/>
      <c r="S68" s="43"/>
      <c r="T68" s="80"/>
      <c r="V68" s="81"/>
    </row>
    <row r="69" customFormat="false" ht="14.1" hidden="false" customHeight="true" outlineLevel="0" collapsed="false">
      <c r="B69" s="0" t="str">
        <f aca="false">'Days per Episode'!B80</f>
        <v>Anderson-1974e #8 (8g)</v>
      </c>
      <c r="C69" s="0" t="n">
        <f aca="false">'Days per Episode'!G80</f>
        <v>2.85714285714286</v>
      </c>
      <c r="L69" s="80"/>
      <c r="O69" s="47" t="n">
        <v>0.91</v>
      </c>
      <c r="R69" s="43"/>
      <c r="S69" s="43"/>
      <c r="T69" s="80"/>
      <c r="V69" s="81"/>
    </row>
    <row r="70" customFormat="false" ht="14.1" hidden="false" customHeight="true" outlineLevel="0" collapsed="false">
      <c r="B70" s="0" t="n">
        <f aca="false">'Days per Episode'!B84</f>
        <v>0</v>
      </c>
      <c r="L70" s="80"/>
      <c r="O70" s="47" t="n">
        <v>0.96</v>
      </c>
      <c r="T70" s="80"/>
      <c r="V70" s="81"/>
    </row>
    <row r="71" customFormat="false" ht="14.1" hidden="false" customHeight="true" outlineLevel="0" collapsed="false">
      <c r="B71" s="0" t="str">
        <f aca="false">'Days per Episode'!B85</f>
        <v>Audera 2001 (1 g/day)</v>
      </c>
      <c r="C71" s="0" t="n">
        <f aca="false">'Days per Episode'!G85</f>
        <v>10.1</v>
      </c>
      <c r="D71" s="0" t="n">
        <f aca="false">'Days per Episode'!J85</f>
        <v>6.99556591877658</v>
      </c>
      <c r="E71" s="25" t="n">
        <f aca="false">D71/C71</f>
        <v>0.69263028898778</v>
      </c>
      <c r="F71" s="0" t="n">
        <f aca="false">'Days per Episode'!Q85</f>
        <v>8.5</v>
      </c>
      <c r="G71" s="0" t="n">
        <f aca="false">'Days per Episode'!T85</f>
        <v>6.67422216936282</v>
      </c>
      <c r="H71" s="25" t="n">
        <f aca="false">G71/F71</f>
        <v>0.785202608160332</v>
      </c>
      <c r="J71" s="0" t="str">
        <f aca="false">'Days per Episode'!W85</f>
        <v>Audera 2001 (1 g/day)</v>
      </c>
      <c r="L71" s="82" t="n">
        <f aca="false">SQRT((POWER(E71,2)+ POWER(H71,2))/2)</f>
        <v>0.740364725349973</v>
      </c>
      <c r="O71" s="47" t="n">
        <v>0.97</v>
      </c>
      <c r="T71" s="80"/>
      <c r="V71" s="47"/>
    </row>
    <row r="72" customFormat="false" ht="14.1" hidden="false" customHeight="true" outlineLevel="0" collapsed="false">
      <c r="B72" s="0" t="str">
        <f aca="false">'Days per Episode'!B86</f>
        <v>Audera 2001a (3 g/day)</v>
      </c>
      <c r="C72" s="0" t="n">
        <f aca="false">'Days per Episode'!G86</f>
        <v>10.4</v>
      </c>
      <c r="D72" s="0" t="n">
        <f aca="false">'Days per Episode'!J86</f>
        <v>6.67422216936282</v>
      </c>
      <c r="E72" s="25" t="n">
        <f aca="false">D72/C72</f>
        <v>0.641752131669502</v>
      </c>
      <c r="F72" s="0" t="n">
        <f aca="false">'Days per Episode'!Q86</f>
        <v>0</v>
      </c>
      <c r="G72" s="0" t="n">
        <f aca="false">'Days per Episode'!T86</f>
        <v>0</v>
      </c>
      <c r="J72" s="0" t="str">
        <f aca="false">'Days per Episode'!W86</f>
        <v>Audera 2001a (3 g/day)</v>
      </c>
      <c r="L72" s="80"/>
      <c r="O72" s="47" t="n">
        <v>0.99</v>
      </c>
      <c r="P72" s="0" t="s">
        <v>240</v>
      </c>
      <c r="T72" s="80"/>
      <c r="V72" s="47"/>
    </row>
    <row r="73" customFormat="false" ht="14.1" hidden="false" customHeight="true" outlineLevel="0" collapsed="false">
      <c r="L73" s="80"/>
      <c r="O73" s="1"/>
      <c r="T73" s="80"/>
      <c r="V73" s="47"/>
    </row>
    <row r="74" customFormat="false" ht="14.1" hidden="false" customHeight="true" outlineLevel="0" collapsed="false">
      <c r="B74" s="0" t="str">
        <f aca="false">'Days per Episode'!B93</f>
        <v>Karlowski 1975 #1</v>
      </c>
      <c r="C74" s="0" t="n">
        <f aca="false">'Days per Episode'!G93</f>
        <v>6.46</v>
      </c>
      <c r="D74" s="0" t="n">
        <f aca="false">'Days per Episode'!J93</f>
        <v>2.91849276168367</v>
      </c>
      <c r="E74" s="0"/>
      <c r="F74" s="0" t="n">
        <f aca="false">'Days per Episode'!Q93</f>
        <v>7.14</v>
      </c>
      <c r="G74" s="0" t="n">
        <f aca="false">'Days per Episode'!T93</f>
        <v>3.70863856421733</v>
      </c>
      <c r="J74" s="0" t="str">
        <f aca="false">'Days per Episode'!W93</f>
        <v>Karlowski 1975 #1</v>
      </c>
      <c r="L74" s="80"/>
      <c r="O74" s="1"/>
      <c r="R74" s="0"/>
      <c r="S74" s="0"/>
      <c r="T74" s="80"/>
      <c r="V74" s="47"/>
    </row>
    <row r="75" customFormat="false" ht="14.1" hidden="false" customHeight="true" outlineLevel="0" collapsed="false">
      <c r="B75" s="0" t="str">
        <f aca="false">'Days per Episode'!B94</f>
        <v>Karlowski 1975c (#3 vs #2)</v>
      </c>
      <c r="C75" s="0" t="n">
        <f aca="false">'Days per Episode'!G94</f>
        <v>5.92</v>
      </c>
      <c r="D75" s="0" t="n">
        <f aca="false">'Days per Episode'!J94</f>
        <v>3.48711915483254</v>
      </c>
      <c r="F75" s="0" t="n">
        <f aca="false">'Days per Episode'!Q94</f>
        <v>6.71</v>
      </c>
      <c r="G75" s="0" t="n">
        <f aca="false">'Days per Episode'!T94</f>
        <v>3.82188435199183</v>
      </c>
      <c r="J75" s="0" t="str">
        <f aca="false">'Days per Episode'!W94</f>
        <v>Karlowski 1975c (#3 vs #2)</v>
      </c>
      <c r="L75" s="80"/>
      <c r="O75" s="81" t="n">
        <v>1.11</v>
      </c>
      <c r="P75" s="0" t="s">
        <v>313</v>
      </c>
      <c r="S75" s="36"/>
      <c r="T75" s="80"/>
      <c r="V75" s="47"/>
    </row>
    <row r="76" customFormat="false" ht="14.1" hidden="false" customHeight="true" outlineLevel="0" collapsed="false">
      <c r="B76" s="0" t="e">
        <f aca="false">#REF!</f>
        <v>#REF!</v>
      </c>
      <c r="C76" s="0" t="e">
        <f aca="false">#REF!</f>
        <v>#REF!</v>
      </c>
      <c r="F76" s="0" t="e">
        <f aca="false">#REF!</f>
        <v>#REF!</v>
      </c>
      <c r="J76" s="0" t="e">
        <f aca="false">#REF!</f>
        <v>#REF!</v>
      </c>
      <c r="L76" s="80"/>
      <c r="N76" s="0"/>
      <c r="O76" s="81" t="n">
        <v>1.14</v>
      </c>
      <c r="P76" s="0" t="s">
        <v>317</v>
      </c>
      <c r="R76" s="0"/>
      <c r="S76" s="0"/>
      <c r="T76" s="80"/>
      <c r="V76" s="47"/>
    </row>
    <row r="77" customFormat="false" ht="14.1" hidden="false" customHeight="true" outlineLevel="0" collapsed="false">
      <c r="B77" s="0" t="str">
        <f aca="false">'Days per Episode'!B91</f>
        <v>Elwood 1977</v>
      </c>
      <c r="C77" s="0" t="n">
        <f aca="false">'Days per Episode'!G91</f>
        <v>5.88965517241379</v>
      </c>
      <c r="D77" s="0" t="n">
        <f aca="false">'Days per Episode'!J91</f>
        <v>2.76916865126649</v>
      </c>
      <c r="E77" s="25" t="n">
        <f aca="false">D77/C77</f>
        <v>0.470175005191618</v>
      </c>
      <c r="F77" s="0" t="n">
        <f aca="false">'Days per Episode'!Q91</f>
        <v>6.28571428571429</v>
      </c>
      <c r="G77" s="0" t="n">
        <f aca="false">'Days per Episode'!T91</f>
        <v>2.78355600255688</v>
      </c>
      <c r="H77" s="25" t="n">
        <f aca="false">G77/F77</f>
        <v>0.442838454952231</v>
      </c>
      <c r="J77" s="0" t="str">
        <f aca="false">'Days per Episode'!W91</f>
        <v>Elwood 1977</v>
      </c>
      <c r="L77" s="80" t="n">
        <f aca="false">SQRT((POWER(E77,2)+ POWER(H77,2))/2)</f>
        <v>0.456711305252792</v>
      </c>
      <c r="O77" s="47" t="n">
        <v>1.27</v>
      </c>
      <c r="P77" s="0" t="s">
        <v>479</v>
      </c>
      <c r="T77" s="88"/>
      <c r="V77" s="47"/>
    </row>
    <row r="78" customFormat="false" ht="14.1" hidden="false" customHeight="true" outlineLevel="0" collapsed="false">
      <c r="B78" s="0" t="str">
        <f aca="false">'Days per Episode'!B96</f>
        <v>Tyrrell 1977 (Males)</v>
      </c>
      <c r="C78" s="0" t="n">
        <f aca="false">'Days per Episode'!G96</f>
        <v>7.41</v>
      </c>
      <c r="D78" s="0" t="n">
        <f aca="false">'Days per Episode'!J96</f>
        <v>3.59</v>
      </c>
      <c r="E78" s="25" t="n">
        <f aca="false">D78/C78</f>
        <v>0.484480431848853</v>
      </c>
      <c r="F78" s="0" t="n">
        <f aca="false">'Days per Episode'!Q96</f>
        <v>7.57</v>
      </c>
      <c r="G78" s="0" t="n">
        <f aca="false">'Days per Episode'!T96</f>
        <v>3.79</v>
      </c>
      <c r="H78" s="25" t="n">
        <f aca="false">G78/F78</f>
        <v>0.500660501981506</v>
      </c>
      <c r="J78" s="0" t="str">
        <f aca="false">'Days per Episode'!W96</f>
        <v>Tyrrell 1977 (Males)</v>
      </c>
      <c r="L78" s="80" t="n">
        <f aca="false">SQRT((POWER(E78,2)+ POWER(H78,2))/2)</f>
        <v>0.492636898277435</v>
      </c>
      <c r="O78" s="47" t="n">
        <v>1.33</v>
      </c>
      <c r="P78" s="87" t="s">
        <v>481</v>
      </c>
      <c r="T78" s="80"/>
      <c r="V78" s="47"/>
    </row>
    <row r="79" customFormat="false" ht="14.1" hidden="false" customHeight="true" outlineLevel="0" collapsed="false">
      <c r="B79" s="0" t="str">
        <f aca="false">'Days per Episode'!B97</f>
        <v>Tyrrell 1977a (Females)</v>
      </c>
      <c r="C79" s="0" t="n">
        <f aca="false">'Days per Episode'!G97</f>
        <v>8.96</v>
      </c>
      <c r="D79" s="0" t="n">
        <f aca="false">'Days per Episode'!J97</f>
        <v>5.3</v>
      </c>
      <c r="E79" s="25" t="n">
        <f aca="false">D79/C79</f>
        <v>0.591517857142857</v>
      </c>
      <c r="F79" s="0" t="n">
        <f aca="false">'Days per Episode'!Q97</f>
        <v>8.24</v>
      </c>
      <c r="G79" s="0" t="n">
        <f aca="false">'Days per Episode'!T97</f>
        <v>4.78</v>
      </c>
      <c r="H79" s="25" t="n">
        <f aca="false">G79/F79</f>
        <v>0.580097087378641</v>
      </c>
      <c r="J79" s="0" t="str">
        <f aca="false">'Days per Episode'!W97</f>
        <v>Tyrrell 1977a (Females)</v>
      </c>
      <c r="L79" s="80" t="n">
        <f aca="false">SQRT((POWER(E79,2)+ POWER(H79,2))/2)</f>
        <v>0.585835303692113</v>
      </c>
      <c r="O79" s="47" t="n">
        <v>1.34</v>
      </c>
      <c r="P79" s="87" t="s">
        <v>481</v>
      </c>
      <c r="R79" s="86" t="s">
        <v>480</v>
      </c>
      <c r="T79" s="80"/>
      <c r="V79" s="47"/>
    </row>
    <row r="80" customFormat="false" ht="14.1" hidden="false" customHeight="true" outlineLevel="0" collapsed="false">
      <c r="L80" s="80"/>
      <c r="O80" s="81" t="n">
        <v>1.4</v>
      </c>
      <c r="P80" s="87" t="s">
        <v>481</v>
      </c>
      <c r="R80" s="86" t="s">
        <v>482</v>
      </c>
      <c r="T80" s="80"/>
      <c r="V80" s="47"/>
    </row>
    <row r="81" customFormat="false" ht="14.1" hidden="false" customHeight="true" outlineLevel="0" collapsed="false">
      <c r="L81" s="80"/>
      <c r="O81" s="81" t="n">
        <v>1.5</v>
      </c>
      <c r="P81" s="87" t="s">
        <v>483</v>
      </c>
      <c r="R81" s="86" t="s">
        <v>484</v>
      </c>
      <c r="T81" s="80"/>
      <c r="V81" s="47"/>
    </row>
    <row r="82" customFormat="false" ht="14.1" hidden="false" customHeight="true" outlineLevel="0" collapsed="false">
      <c r="B82" s="5" t="s">
        <v>488</v>
      </c>
      <c r="L82" s="80"/>
      <c r="O82" s="81" t="n">
        <v>1.66</v>
      </c>
      <c r="P82" s="87" t="s">
        <v>483</v>
      </c>
      <c r="R82" s="0"/>
      <c r="T82" s="80"/>
      <c r="V82" s="47"/>
    </row>
    <row r="83" customFormat="false" ht="14.1" hidden="false" customHeight="true" outlineLevel="0" collapsed="false">
      <c r="L83" s="80"/>
      <c r="O83" s="47" t="n">
        <v>1.87</v>
      </c>
      <c r="P83" s="87" t="s">
        <v>481</v>
      </c>
      <c r="T83" s="80"/>
      <c r="V83" s="47"/>
    </row>
    <row r="84" customFormat="false" ht="14.1" hidden="false" customHeight="true" outlineLevel="0" collapsed="false">
      <c r="B84" s="2" t="s">
        <v>489</v>
      </c>
      <c r="C84" s="22" t="n">
        <v>12.1</v>
      </c>
      <c r="D84" s="92" t="n">
        <v>9.8</v>
      </c>
      <c r="E84" s="25" t="n">
        <f aca="false">D84/C84</f>
        <v>0.809917355371901</v>
      </c>
      <c r="F84" s="22" t="n">
        <v>7.7</v>
      </c>
      <c r="G84" s="92" t="n">
        <v>9.8</v>
      </c>
      <c r="H84" s="85" t="n">
        <f aca="false">G84/F84</f>
        <v>1.27272727272727</v>
      </c>
      <c r="L84" s="82" t="n">
        <f aca="false">SQRT((POWER(E84,2)+ POWER(H84,2))/2)</f>
        <v>1.06672415208347</v>
      </c>
      <c r="N84" s="0"/>
      <c r="O84" s="77"/>
      <c r="T84" s="80"/>
      <c r="V84" s="47"/>
    </row>
    <row r="85" customFormat="false" ht="14.1" hidden="false" customHeight="true" outlineLevel="0" collapsed="false">
      <c r="B85" s="2" t="s">
        <v>490</v>
      </c>
      <c r="C85" s="22" t="n">
        <v>4.86</v>
      </c>
      <c r="D85" s="92" t="n">
        <v>2.7</v>
      </c>
      <c r="E85" s="25" t="n">
        <f aca="false">D85/C85</f>
        <v>0.555555555555556</v>
      </c>
      <c r="F85" s="22" t="n">
        <v>6.13</v>
      </c>
      <c r="G85" s="92" t="n">
        <v>2.7</v>
      </c>
      <c r="H85" s="25" t="n">
        <f aca="false">G85/F85</f>
        <v>0.440456769983687</v>
      </c>
      <c r="L85" s="80" t="n">
        <f aca="false">SQRT((POWER(E85,2)+ POWER(H85,2))/2)</f>
        <v>0.50132032750184</v>
      </c>
      <c r="N85" s="5" t="s">
        <v>485</v>
      </c>
      <c r="O85" s="89" t="n">
        <f aca="false">COUNT(O15:O83)</f>
        <v>67</v>
      </c>
      <c r="T85" s="80"/>
      <c r="V85" s="47"/>
    </row>
    <row r="86" customFormat="false" ht="14.1" hidden="false" customHeight="true" outlineLevel="0" collapsed="false">
      <c r="B86" s="2" t="s">
        <v>491</v>
      </c>
      <c r="C86" s="22" t="n">
        <v>9.37</v>
      </c>
      <c r="D86" s="0" t="n">
        <v>4.81</v>
      </c>
      <c r="E86" s="25" t="n">
        <f aca="false">D86/C86</f>
        <v>0.513340448239061</v>
      </c>
      <c r="F86" s="22" t="n">
        <v>9.5</v>
      </c>
      <c r="G86" s="0" t="n">
        <v>4.53</v>
      </c>
      <c r="H86" s="25" t="n">
        <f aca="false">G86/F86</f>
        <v>0.476842105263158</v>
      </c>
      <c r="L86" s="80" t="n">
        <f aca="false">SQRT((POWER(E86,2)+ POWER(H86,2))/2)</f>
        <v>0.49542749678943</v>
      </c>
      <c r="O86" s="77"/>
      <c r="T86" s="80"/>
    </row>
    <row r="87" customFormat="false" ht="14.1" hidden="false" customHeight="true" outlineLevel="0" collapsed="false">
      <c r="B87" s="2" t="s">
        <v>492</v>
      </c>
      <c r="C87" s="22" t="n">
        <v>5.204</v>
      </c>
      <c r="D87" s="0" t="n">
        <v>2.828</v>
      </c>
      <c r="E87" s="25" t="n">
        <f aca="false">D87/C87</f>
        <v>0.543428132205996</v>
      </c>
      <c r="F87" s="22" t="n">
        <v>9.38</v>
      </c>
      <c r="G87" s="0" t="n">
        <v>5.469</v>
      </c>
      <c r="H87" s="25" t="n">
        <f aca="false">G87/F87</f>
        <v>0.583049040511727</v>
      </c>
      <c r="L87" s="80" t="n">
        <f aca="false">SQRT((POWER(E87,2)+ POWER(H87,2))/2)</f>
        <v>0.563586869308779</v>
      </c>
      <c r="O87" s="77"/>
      <c r="P87" s="93"/>
      <c r="Q87" s="14"/>
      <c r="R87" s="43"/>
      <c r="S87" s="43"/>
      <c r="T87" s="80"/>
      <c r="U87" s="3"/>
    </row>
    <row r="88" customFormat="false" ht="14.1" hidden="false" customHeight="true" outlineLevel="0" collapsed="false">
      <c r="B88" s="2" t="s">
        <v>493</v>
      </c>
      <c r="C88" s="22" t="n">
        <v>5.2885</v>
      </c>
      <c r="D88" s="0" t="n">
        <v>2.5693</v>
      </c>
      <c r="E88" s="25" t="n">
        <f aca="false">D88/C88</f>
        <v>0.485827739434622</v>
      </c>
      <c r="F88" s="22" t="n">
        <v>7.0612</v>
      </c>
      <c r="G88" s="0" t="n">
        <v>3.9073</v>
      </c>
      <c r="H88" s="25" t="n">
        <f aca="false">G88/F88</f>
        <v>0.553347872882796</v>
      </c>
      <c r="L88" s="80" t="n">
        <f aca="false">SQRT((POWER(E88,2)+ POWER(H88,2))/2)</f>
        <v>0.520683426290904</v>
      </c>
      <c r="O88" s="77"/>
      <c r="P88" s="93"/>
      <c r="Q88" s="14"/>
      <c r="R88" s="43"/>
      <c r="S88" s="43"/>
      <c r="T88" s="80"/>
      <c r="U88" s="3"/>
    </row>
    <row r="89" customFormat="false" ht="14.1" hidden="false" customHeight="true" outlineLevel="0" collapsed="false">
      <c r="B89" s="2" t="s">
        <v>494</v>
      </c>
      <c r="C89" s="22" t="n">
        <v>4.44</v>
      </c>
      <c r="D89" s="0" t="n">
        <v>1.557</v>
      </c>
      <c r="E89" s="25" t="n">
        <f aca="false">D89/C89</f>
        <v>0.350675675675676</v>
      </c>
      <c r="F89" s="22" t="n">
        <v>8.087</v>
      </c>
      <c r="G89" s="0" t="n">
        <v>1.807</v>
      </c>
      <c r="H89" s="25" t="n">
        <f aca="false">G89/F89</f>
        <v>0.223445035241746</v>
      </c>
      <c r="L89" s="80" t="n">
        <f aca="false">SQRT((POWER(E89,2)+ POWER(H89,2))/2)</f>
        <v>0.294024755152331</v>
      </c>
      <c r="O89" s="77"/>
      <c r="P89" s="93"/>
      <c r="Q89" s="14"/>
      <c r="R89" s="43"/>
      <c r="S89" s="43"/>
      <c r="T89" s="80"/>
      <c r="U89" s="3"/>
    </row>
    <row r="90" customFormat="false" ht="14.1" hidden="false" customHeight="true" outlineLevel="0" collapsed="false">
      <c r="B90" s="2" t="s">
        <v>495</v>
      </c>
      <c r="C90" s="22" t="n">
        <v>4</v>
      </c>
      <c r="D90" s="0" t="n">
        <v>1.04</v>
      </c>
      <c r="E90" s="25" t="n">
        <f aca="false">D90/C90</f>
        <v>0.26</v>
      </c>
      <c r="F90" s="22" t="n">
        <v>7.12</v>
      </c>
      <c r="G90" s="0" t="n">
        <v>1.26</v>
      </c>
      <c r="H90" s="25" t="n">
        <f aca="false">G90/F90</f>
        <v>0.176966292134831</v>
      </c>
      <c r="L90" s="80" t="n">
        <f aca="false">SQRT((POWER(E90,2)+ POWER(H90,2))/2)</f>
        <v>0.222392747804364</v>
      </c>
      <c r="O90" s="77"/>
      <c r="P90" s="93"/>
      <c r="Q90" s="14"/>
      <c r="R90" s="43"/>
      <c r="S90" s="43"/>
      <c r="T90" s="80"/>
      <c r="U90" s="3"/>
    </row>
    <row r="91" customFormat="false" ht="14.1" hidden="false" customHeight="true" outlineLevel="0" collapsed="false">
      <c r="B91" s="2" t="s">
        <v>496</v>
      </c>
      <c r="C91" s="0" t="n">
        <v>7.41</v>
      </c>
      <c r="D91" s="0" t="n">
        <v>3.88</v>
      </c>
      <c r="E91" s="25" t="n">
        <f aca="false">D91/C91</f>
        <v>0.52361673414305</v>
      </c>
      <c r="F91" s="0" t="n">
        <v>7.55</v>
      </c>
      <c r="G91" s="0" t="n">
        <v>3.96</v>
      </c>
      <c r="H91" s="25" t="n">
        <f aca="false">G91/F91</f>
        <v>0.524503311258278</v>
      </c>
      <c r="L91" s="80" t="n">
        <f aca="false">SQRT((POWER(E91,2)+ POWER(H91,2))/2)</f>
        <v>0.524060210183683</v>
      </c>
      <c r="O91" s="77"/>
      <c r="P91" s="3"/>
      <c r="Q91" s="3"/>
      <c r="R91" s="43"/>
      <c r="S91" s="43"/>
      <c r="T91" s="80"/>
      <c r="U91" s="3"/>
    </row>
    <row r="92" customFormat="false" ht="14.1" hidden="false" customHeight="true" outlineLevel="0" collapsed="false">
      <c r="B92" s="2" t="s">
        <v>497</v>
      </c>
      <c r="C92" s="0" t="n">
        <v>6.89</v>
      </c>
      <c r="D92" s="0" t="n">
        <v>3.35</v>
      </c>
      <c r="E92" s="25" t="n">
        <f aca="false">D92/C92</f>
        <v>0.486211901306241</v>
      </c>
      <c r="L92" s="80"/>
      <c r="O92" s="77"/>
      <c r="P92" s="94"/>
      <c r="Q92" s="14"/>
      <c r="R92" s="43"/>
      <c r="S92" s="43"/>
      <c r="T92" s="80"/>
      <c r="U92" s="3"/>
    </row>
    <row r="93" customFormat="false" ht="14.1" hidden="false" customHeight="true" outlineLevel="0" collapsed="false">
      <c r="B93" s="2" t="s">
        <v>498</v>
      </c>
      <c r="C93" s="22" t="n">
        <v>7.9</v>
      </c>
      <c r="D93" s="22" t="n">
        <v>4.2</v>
      </c>
      <c r="E93" s="25" t="n">
        <f aca="false">D93/C93</f>
        <v>0.531645569620253</v>
      </c>
      <c r="O93" s="77"/>
      <c r="P93" s="3"/>
      <c r="Q93" s="3"/>
      <c r="R93" s="43"/>
      <c r="S93" s="43"/>
      <c r="T93" s="80"/>
      <c r="U93" s="3"/>
    </row>
    <row r="94" customFormat="false" ht="14.1" hidden="false" customHeight="true" outlineLevel="0" collapsed="false">
      <c r="O94" s="77"/>
      <c r="P94" s="3"/>
      <c r="Q94" s="3"/>
      <c r="R94" s="43"/>
      <c r="S94" s="43"/>
      <c r="T94" s="80"/>
      <c r="U94" s="3"/>
    </row>
    <row r="95" customFormat="false" ht="14.1" hidden="false" customHeight="true" outlineLevel="0" collapsed="false">
      <c r="O95" s="77"/>
      <c r="P95" s="93"/>
      <c r="Q95" s="3"/>
      <c r="R95" s="43"/>
      <c r="S95" s="43"/>
      <c r="T95" s="80"/>
      <c r="U95" s="3"/>
    </row>
    <row r="96" customFormat="false" ht="14.15" hidden="false" customHeight="true" outlineLevel="0" collapsed="false">
      <c r="O96" s="95"/>
      <c r="P96" s="93"/>
      <c r="Q96" s="3"/>
      <c r="R96" s="43"/>
      <c r="S96" s="43"/>
      <c r="T96" s="80"/>
      <c r="U96" s="3"/>
    </row>
    <row r="97" customFormat="false" ht="14.15" hidden="false" customHeight="true" outlineLevel="0" collapsed="false">
      <c r="D97" s="0" t="s">
        <v>252</v>
      </c>
      <c r="E97" s="25" t="n">
        <f aca="false">MEDIAN(E$21:E$93,H$21:H$93)</f>
        <v>0.580097087378641</v>
      </c>
      <c r="O97" s="77"/>
      <c r="P97" s="93"/>
      <c r="Q97" s="3"/>
      <c r="R97" s="43"/>
      <c r="S97" s="43"/>
      <c r="T97" s="80"/>
      <c r="U97" s="3"/>
    </row>
    <row r="98" customFormat="false" ht="14.1" hidden="false" customHeight="true" outlineLevel="0" collapsed="false">
      <c r="D98" s="0" t="s">
        <v>251</v>
      </c>
      <c r="E98" s="25" t="n">
        <f aca="false">AVERAGE(E$21:E$93,H$21:H$93)</f>
        <v>0.687171681497611</v>
      </c>
      <c r="O98" s="77"/>
      <c r="P98" s="3"/>
      <c r="Q98" s="3"/>
      <c r="R98" s="43"/>
      <c r="S98" s="43"/>
      <c r="T98" s="80"/>
      <c r="U98" s="3"/>
    </row>
    <row r="99" customFormat="false" ht="14.1" hidden="false" customHeight="true" outlineLevel="0" collapsed="false">
      <c r="D99" s="0" t="s">
        <v>172</v>
      </c>
      <c r="E99" s="96" t="n">
        <f aca="false">COUNT(E$21:E$93,H$21:H$93)</f>
        <v>67</v>
      </c>
      <c r="O99" s="77"/>
      <c r="P99" s="94"/>
      <c r="Q99" s="14"/>
      <c r="R99" s="43"/>
      <c r="S99" s="43"/>
      <c r="T99" s="80"/>
      <c r="U99" s="3"/>
    </row>
  </sheetData>
  <printOptions headings="false" gridLines="false" gridLinesSet="true" horizontalCentered="false" verticalCentered="false"/>
  <pageMargins left="0.236111111111111" right="0.236111111111111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4080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2004-04-16T10:40:26Z</dcterms:created>
  <dc:creator>hemila</dc:creator>
  <dc:language>fi-FI</dc:language>
  <cp:lastModifiedBy>Harri Hemila</cp:lastModifiedBy>
  <cp:lastPrinted>2016-02-10T14:04:14Z</cp:lastPrinted>
  <dcterms:modified xsi:type="dcterms:W3CDTF">2016-05-07T12:00:08Z</dcterms:modified>
  <cp:revision>432</cp:revision>
</cp:coreProperties>
</file>